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2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<sst xmlns="http://schemas.openxmlformats.org/spreadsheetml/2006/main" count="624" uniqueCount="62">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</sst>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196" fontId="10" fillId="0" borderId="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196" fontId="0" fillId="34" borderId="0" xfId="0" applyNumberFormat="1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2" sqref="C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36" sqref="W36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01" customFormat="1" ht="15.75">
      <c r="A10" s="97" t="s">
        <v>4</v>
      </c>
      <c r="B10" s="98">
        <f>19083.7+56.6</f>
        <v>19140.3</v>
      </c>
      <c r="C10" s="98">
        <v>2464.5</v>
      </c>
      <c r="D10" s="99"/>
      <c r="E10" s="99">
        <v>203.9</v>
      </c>
      <c r="F10" s="99">
        <v>119.8</v>
      </c>
      <c r="G10" s="99">
        <v>249.5</v>
      </c>
      <c r="H10" s="99">
        <v>28.2</v>
      </c>
      <c r="I10" s="99"/>
      <c r="J10" s="100">
        <v>94.6</v>
      </c>
      <c r="K10" s="99">
        <f>1641.4</f>
        <v>1641.4</v>
      </c>
      <c r="L10" s="99">
        <f>3692.3-8.4</f>
        <v>3683.9</v>
      </c>
      <c r="M10" s="99">
        <v>1284.9</v>
      </c>
      <c r="N10" s="99">
        <v>43.8</v>
      </c>
      <c r="O10" s="99">
        <v>45.6</v>
      </c>
      <c r="P10" s="99">
        <v>7</v>
      </c>
      <c r="Q10" s="99">
        <v>132</v>
      </c>
      <c r="R10" s="99">
        <v>69</v>
      </c>
      <c r="S10" s="99">
        <v>12.9</v>
      </c>
      <c r="T10" s="99">
        <v>1131.2</v>
      </c>
      <c r="U10" s="99">
        <v>2053.4</v>
      </c>
      <c r="V10" s="99">
        <v>6027.2</v>
      </c>
      <c r="W10" s="99">
        <v>894.6</v>
      </c>
      <c r="X10" s="99"/>
      <c r="Y10" s="99"/>
      <c r="Z10" s="99"/>
      <c r="AA10" s="99"/>
      <c r="AB10" s="99"/>
      <c r="AC10" s="99"/>
      <c r="AD10" s="99"/>
      <c r="AE10" s="99"/>
      <c r="AF10" s="99">
        <f aca="true" t="shared" si="1" ref="AF10:AF59">SUM(D10:AD10)</f>
        <v>17722.899999999998</v>
      </c>
      <c r="AG10" s="99">
        <f>B10+C10-AF10</f>
        <v>3881.9000000000015</v>
      </c>
      <c r="AI10" s="102"/>
    </row>
    <row r="11" spans="1:35" s="101" customFormat="1" ht="15.75">
      <c r="A11" s="103" t="s">
        <v>5</v>
      </c>
      <c r="B11" s="98">
        <v>17709.2</v>
      </c>
      <c r="C11" s="98">
        <v>1338.2000000000044</v>
      </c>
      <c r="D11" s="99"/>
      <c r="E11" s="99">
        <v>196.5</v>
      </c>
      <c r="F11" s="99">
        <v>40.7</v>
      </c>
      <c r="G11" s="99">
        <v>134.2</v>
      </c>
      <c r="H11" s="99">
        <v>1.1</v>
      </c>
      <c r="I11" s="99"/>
      <c r="J11" s="99"/>
      <c r="K11" s="99">
        <v>1320.4</v>
      </c>
      <c r="L11" s="99">
        <v>3625.8</v>
      </c>
      <c r="M11" s="99">
        <v>1272.4</v>
      </c>
      <c r="N11" s="99"/>
      <c r="O11" s="99"/>
      <c r="P11" s="99"/>
      <c r="Q11" s="99">
        <v>130.1</v>
      </c>
      <c r="R11" s="99"/>
      <c r="S11" s="99">
        <v>0.9</v>
      </c>
      <c r="T11" s="99">
        <v>1054</v>
      </c>
      <c r="U11" s="99">
        <v>1991.7</v>
      </c>
      <c r="V11" s="99">
        <v>5764.4</v>
      </c>
      <c r="W11" s="99">
        <v>865.1</v>
      </c>
      <c r="X11" s="99"/>
      <c r="Y11" s="99"/>
      <c r="Z11" s="99"/>
      <c r="AA11" s="99"/>
      <c r="AB11" s="99"/>
      <c r="AC11" s="99"/>
      <c r="AD11" s="99"/>
      <c r="AE11" s="99"/>
      <c r="AF11" s="99">
        <f t="shared" si="1"/>
        <v>16397.3</v>
      </c>
      <c r="AG11" s="99">
        <f>B11+C11-AF11</f>
        <v>2650.100000000006</v>
      </c>
      <c r="AI11" s="102"/>
    </row>
    <row r="12" spans="1:35" s="101" customFormat="1" ht="15.75">
      <c r="A12" s="103" t="s">
        <v>2</v>
      </c>
      <c r="B12" s="104">
        <v>357.7</v>
      </c>
      <c r="C12" s="98">
        <v>299.8</v>
      </c>
      <c r="D12" s="99"/>
      <c r="E12" s="99"/>
      <c r="F12" s="99"/>
      <c r="G12" s="99">
        <v>77</v>
      </c>
      <c r="H12" s="99">
        <v>0.5</v>
      </c>
      <c r="I12" s="99"/>
      <c r="J12" s="99">
        <v>3</v>
      </c>
      <c r="K12" s="99">
        <v>170</v>
      </c>
      <c r="L12" s="99">
        <v>5.8</v>
      </c>
      <c r="M12" s="99"/>
      <c r="N12" s="99"/>
      <c r="O12" s="99">
        <v>23.6</v>
      </c>
      <c r="P12" s="99"/>
      <c r="Q12" s="99"/>
      <c r="R12" s="99"/>
      <c r="S12" s="99"/>
      <c r="T12" s="99">
        <v>4.9</v>
      </c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>
        <f t="shared" si="1"/>
        <v>284.8</v>
      </c>
      <c r="AG12" s="99">
        <f>B12+C12-AF12</f>
        <v>372.7</v>
      </c>
      <c r="AI12" s="102"/>
    </row>
    <row r="13" spans="1:35" s="101" customFormat="1" ht="15.75" hidden="1">
      <c r="A13" s="103" t="s">
        <v>16</v>
      </c>
      <c r="B13" s="98"/>
      <c r="C13" s="98">
        <v>0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>
        <f t="shared" si="1"/>
        <v>0</v>
      </c>
      <c r="AG13" s="99">
        <f>B13+C13-AF13</f>
        <v>0</v>
      </c>
      <c r="AI13" s="102"/>
    </row>
    <row r="14" spans="1:35" s="101" customFormat="1" ht="15.75">
      <c r="A14" s="103" t="s">
        <v>23</v>
      </c>
      <c r="B14" s="98">
        <f aca="true" t="shared" si="2" ref="B14:Y14">B10-B11-B12-B13</f>
        <v>1073.3999999999985</v>
      </c>
      <c r="C14" s="98">
        <v>826.4999999999957</v>
      </c>
      <c r="D14" s="99">
        <f t="shared" si="2"/>
        <v>0</v>
      </c>
      <c r="E14" s="99">
        <f t="shared" si="2"/>
        <v>7.400000000000006</v>
      </c>
      <c r="F14" s="99">
        <f t="shared" si="2"/>
        <v>79.1</v>
      </c>
      <c r="G14" s="99">
        <f t="shared" si="2"/>
        <v>38.30000000000001</v>
      </c>
      <c r="H14" s="99">
        <f t="shared" si="2"/>
        <v>26.599999999999998</v>
      </c>
      <c r="I14" s="99">
        <f t="shared" si="2"/>
        <v>0</v>
      </c>
      <c r="J14" s="99">
        <f t="shared" si="2"/>
        <v>91.6</v>
      </c>
      <c r="K14" s="99">
        <f t="shared" si="2"/>
        <v>151</v>
      </c>
      <c r="L14" s="99">
        <f t="shared" si="2"/>
        <v>52.29999999999991</v>
      </c>
      <c r="M14" s="99">
        <f t="shared" si="2"/>
        <v>12.5</v>
      </c>
      <c r="N14" s="99">
        <f t="shared" si="2"/>
        <v>43.8</v>
      </c>
      <c r="O14" s="99">
        <f t="shared" si="2"/>
        <v>22</v>
      </c>
      <c r="P14" s="99">
        <f t="shared" si="2"/>
        <v>7</v>
      </c>
      <c r="Q14" s="99">
        <f t="shared" si="2"/>
        <v>1.9000000000000057</v>
      </c>
      <c r="R14" s="99">
        <f t="shared" si="2"/>
        <v>69</v>
      </c>
      <c r="S14" s="99">
        <f t="shared" si="2"/>
        <v>12</v>
      </c>
      <c r="T14" s="99">
        <f t="shared" si="2"/>
        <v>72.30000000000004</v>
      </c>
      <c r="U14" s="99">
        <f t="shared" si="2"/>
        <v>61.700000000000045</v>
      </c>
      <c r="V14" s="99">
        <f t="shared" si="2"/>
        <v>262.8000000000002</v>
      </c>
      <c r="W14" s="99">
        <f t="shared" si="2"/>
        <v>29.5</v>
      </c>
      <c r="X14" s="99">
        <f t="shared" si="2"/>
        <v>0</v>
      </c>
      <c r="Y14" s="99">
        <f t="shared" si="2"/>
        <v>0</v>
      </c>
      <c r="Z14" s="99"/>
      <c r="AA14" s="99"/>
      <c r="AB14" s="99"/>
      <c r="AC14" s="99"/>
      <c r="AD14" s="99"/>
      <c r="AE14" s="99"/>
      <c r="AF14" s="99">
        <f t="shared" si="1"/>
        <v>1040.8000000000002</v>
      </c>
      <c r="AG14" s="99">
        <f>AG10-AG11-AG12-AG13</f>
        <v>859.0999999999956</v>
      </c>
      <c r="AI14" s="102"/>
    </row>
    <row r="15" spans="1:35" s="101" customFormat="1" ht="15" customHeight="1">
      <c r="A15" s="97" t="s">
        <v>6</v>
      </c>
      <c r="B15" s="98">
        <f>83747.1+3.2+21.3</f>
        <v>83771.6</v>
      </c>
      <c r="C15" s="98">
        <v>29823.199999999997</v>
      </c>
      <c r="D15" s="105"/>
      <c r="E15" s="105"/>
      <c r="F15" s="99">
        <f>20+40.7</f>
        <v>60.7</v>
      </c>
      <c r="G15" s="99">
        <v>1437.6</v>
      </c>
      <c r="H15" s="99">
        <v>1886</v>
      </c>
      <c r="I15" s="99"/>
      <c r="J15" s="99">
        <v>1381.2</v>
      </c>
      <c r="K15" s="99">
        <f>13902.2+10550.7</f>
        <v>24452.9</v>
      </c>
      <c r="L15" s="99">
        <v>2976.1</v>
      </c>
      <c r="M15" s="99">
        <v>3278.2</v>
      </c>
      <c r="N15" s="99">
        <v>2126</v>
      </c>
      <c r="O15" s="99">
        <v>3292.8</v>
      </c>
      <c r="P15" s="99">
        <v>2453.5</v>
      </c>
      <c r="Q15" s="99">
        <v>875.9</v>
      </c>
      <c r="R15" s="99">
        <v>807.5</v>
      </c>
      <c r="S15" s="99">
        <v>2786.6</v>
      </c>
      <c r="T15" s="99">
        <v>647.3</v>
      </c>
      <c r="U15" s="99">
        <f>23039.2+12514</f>
        <v>35553.2</v>
      </c>
      <c r="V15" s="99">
        <v>298.2</v>
      </c>
      <c r="W15" s="99">
        <v>-6.2</v>
      </c>
      <c r="X15" s="99"/>
      <c r="Y15" s="99"/>
      <c r="Z15" s="99"/>
      <c r="AA15" s="99"/>
      <c r="AB15" s="99"/>
      <c r="AC15" s="99"/>
      <c r="AD15" s="99"/>
      <c r="AE15" s="99"/>
      <c r="AF15" s="99">
        <f t="shared" si="1"/>
        <v>84307.5</v>
      </c>
      <c r="AG15" s="99">
        <f aca="true" t="shared" si="3" ref="AG15:AG31">B15+C15-AF15</f>
        <v>29287.300000000003</v>
      </c>
      <c r="AI15" s="102"/>
    </row>
    <row r="16" spans="1:35" s="111" customFormat="1" ht="15" customHeight="1">
      <c r="A16" s="106" t="s">
        <v>38</v>
      </c>
      <c r="B16" s="107">
        <f>23019.6+3.2</f>
        <v>23022.8</v>
      </c>
      <c r="C16" s="107">
        <v>125.4</v>
      </c>
      <c r="D16" s="108"/>
      <c r="E16" s="108"/>
      <c r="F16" s="109">
        <v>40.7</v>
      </c>
      <c r="G16" s="109"/>
      <c r="H16" s="109"/>
      <c r="I16" s="109"/>
      <c r="J16" s="109"/>
      <c r="K16" s="109">
        <v>10550.7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>
        <v>12514</v>
      </c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8">
        <f t="shared" si="1"/>
        <v>23105.4</v>
      </c>
      <c r="AG16" s="108">
        <f t="shared" si="3"/>
        <v>42.79999999999927</v>
      </c>
      <c r="AH16" s="110"/>
      <c r="AI16" s="102"/>
    </row>
    <row r="17" spans="1:35" s="101" customFormat="1" ht="15.75">
      <c r="A17" s="103" t="s">
        <v>5</v>
      </c>
      <c r="B17" s="98">
        <f>58279.96+3.2</f>
        <v>58283.159999999996</v>
      </c>
      <c r="C17" s="98">
        <v>2363.399999999994</v>
      </c>
      <c r="D17" s="99"/>
      <c r="E17" s="99"/>
      <c r="F17" s="99">
        <v>60.7</v>
      </c>
      <c r="G17" s="99"/>
      <c r="H17" s="99"/>
      <c r="I17" s="99"/>
      <c r="J17" s="99"/>
      <c r="K17" s="99">
        <f>13022.4+10550.7</f>
        <v>23573.1</v>
      </c>
      <c r="L17" s="99"/>
      <c r="M17" s="99"/>
      <c r="N17" s="99"/>
      <c r="O17" s="99"/>
      <c r="P17" s="99"/>
      <c r="Q17" s="99"/>
      <c r="R17" s="99"/>
      <c r="S17" s="99"/>
      <c r="T17" s="99"/>
      <c r="U17" s="99">
        <f>21765.1+12514</f>
        <v>34279.1</v>
      </c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>
        <f t="shared" si="1"/>
        <v>57912.899999999994</v>
      </c>
      <c r="AG17" s="99">
        <f t="shared" si="3"/>
        <v>2733.659999999996</v>
      </c>
      <c r="AH17" s="102"/>
      <c r="AI17" s="102"/>
    </row>
    <row r="18" spans="1:35" s="101" customFormat="1" ht="15.75">
      <c r="A18" s="103" t="s">
        <v>3</v>
      </c>
      <c r="B18" s="98">
        <v>35.4</v>
      </c>
      <c r="C18" s="98">
        <v>0</v>
      </c>
      <c r="D18" s="99"/>
      <c r="E18" s="99"/>
      <c r="F18" s="99"/>
      <c r="G18" s="99"/>
      <c r="H18" s="99">
        <v>0.9</v>
      </c>
      <c r="I18" s="99"/>
      <c r="J18" s="99">
        <v>0.3</v>
      </c>
      <c r="K18" s="99"/>
      <c r="L18" s="99"/>
      <c r="M18" s="99"/>
      <c r="N18" s="99"/>
      <c r="O18" s="99"/>
      <c r="P18" s="99"/>
      <c r="Q18" s="99"/>
      <c r="R18" s="99"/>
      <c r="S18" s="99"/>
      <c r="T18" s="99">
        <v>8.7</v>
      </c>
      <c r="U18" s="99">
        <v>9.7</v>
      </c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>
        <f t="shared" si="1"/>
        <v>19.599999999999998</v>
      </c>
      <c r="AG18" s="99">
        <f t="shared" si="3"/>
        <v>15.8</v>
      </c>
      <c r="AI18" s="102"/>
    </row>
    <row r="19" spans="1:35" s="101" customFormat="1" ht="15.75">
      <c r="A19" s="103" t="s">
        <v>1</v>
      </c>
      <c r="B19" s="98">
        <v>4280.4</v>
      </c>
      <c r="C19" s="98">
        <v>3541.3999999999996</v>
      </c>
      <c r="D19" s="99"/>
      <c r="E19" s="99"/>
      <c r="F19" s="99"/>
      <c r="G19" s="99">
        <v>240.3</v>
      </c>
      <c r="H19" s="99">
        <v>427.1</v>
      </c>
      <c r="I19" s="99"/>
      <c r="J19" s="99">
        <v>446.9</v>
      </c>
      <c r="K19" s="99">
        <v>102.1</v>
      </c>
      <c r="L19" s="99">
        <v>46</v>
      </c>
      <c r="M19" s="99">
        <v>154.6</v>
      </c>
      <c r="N19" s="99">
        <v>766.9</v>
      </c>
      <c r="O19" s="99"/>
      <c r="P19" s="99">
        <v>945</v>
      </c>
      <c r="Q19" s="99">
        <v>400</v>
      </c>
      <c r="R19" s="99">
        <v>1</v>
      </c>
      <c r="S19" s="99">
        <v>1121.4</v>
      </c>
      <c r="T19" s="99">
        <v>59</v>
      </c>
      <c r="U19" s="99">
        <v>682.9</v>
      </c>
      <c r="V19" s="99">
        <v>18.7</v>
      </c>
      <c r="W19" s="99"/>
      <c r="X19" s="99"/>
      <c r="Y19" s="99"/>
      <c r="Z19" s="99"/>
      <c r="AA19" s="99"/>
      <c r="AB19" s="99"/>
      <c r="AC19" s="99"/>
      <c r="AD19" s="99"/>
      <c r="AE19" s="99"/>
      <c r="AF19" s="99">
        <f t="shared" si="1"/>
        <v>5411.9</v>
      </c>
      <c r="AG19" s="99">
        <f t="shared" si="3"/>
        <v>2409.8999999999996</v>
      </c>
      <c r="AI19" s="102"/>
    </row>
    <row r="20" spans="1:35" s="101" customFormat="1" ht="15.75">
      <c r="A20" s="103" t="s">
        <v>2</v>
      </c>
      <c r="B20" s="98">
        <v>16303.4</v>
      </c>
      <c r="C20" s="98">
        <v>20438.6</v>
      </c>
      <c r="D20" s="99"/>
      <c r="E20" s="99"/>
      <c r="F20" s="99"/>
      <c r="G20" s="99">
        <v>688.8</v>
      </c>
      <c r="H20" s="99">
        <v>1267.7</v>
      </c>
      <c r="I20" s="99"/>
      <c r="J20" s="99">
        <v>920.8</v>
      </c>
      <c r="K20" s="99">
        <v>531.8</v>
      </c>
      <c r="L20" s="99">
        <v>2870.4</v>
      </c>
      <c r="M20" s="99">
        <v>2522</v>
      </c>
      <c r="N20" s="99">
        <f>1076.6+267.2</f>
        <v>1343.8</v>
      </c>
      <c r="O20" s="99">
        <v>3290.1</v>
      </c>
      <c r="P20" s="99">
        <v>1467.5</v>
      </c>
      <c r="Q20" s="99">
        <v>255.7</v>
      </c>
      <c r="R20" s="99">
        <v>697.1</v>
      </c>
      <c r="S20" s="99">
        <v>813.5</v>
      </c>
      <c r="T20" s="99">
        <v>565.4</v>
      </c>
      <c r="U20" s="99">
        <v>107.9</v>
      </c>
      <c r="V20" s="99">
        <v>63.1</v>
      </c>
      <c r="W20" s="99">
        <v>-5.9</v>
      </c>
      <c r="X20" s="99"/>
      <c r="Y20" s="99"/>
      <c r="Z20" s="99"/>
      <c r="AA20" s="99"/>
      <c r="AB20" s="99"/>
      <c r="AC20" s="99"/>
      <c r="AD20" s="99"/>
      <c r="AE20" s="99"/>
      <c r="AF20" s="99">
        <f t="shared" si="1"/>
        <v>17399.7</v>
      </c>
      <c r="AG20" s="99">
        <f t="shared" si="3"/>
        <v>19342.3</v>
      </c>
      <c r="AI20" s="102"/>
    </row>
    <row r="21" spans="1:35" s="101" customFormat="1" ht="15.75">
      <c r="A21" s="103" t="s">
        <v>16</v>
      </c>
      <c r="B21" s="98">
        <v>1194.5</v>
      </c>
      <c r="C21" s="98">
        <v>157.20000000000005</v>
      </c>
      <c r="D21" s="99"/>
      <c r="E21" s="99"/>
      <c r="F21" s="99"/>
      <c r="G21" s="99"/>
      <c r="H21" s="99"/>
      <c r="I21" s="99"/>
      <c r="J21" s="99"/>
      <c r="K21" s="99"/>
      <c r="L21" s="99"/>
      <c r="M21" s="99">
        <v>376.7</v>
      </c>
      <c r="N21" s="99"/>
      <c r="O21" s="99"/>
      <c r="P21" s="99"/>
      <c r="Q21" s="99"/>
      <c r="R21" s="99"/>
      <c r="S21" s="99">
        <v>419.7</v>
      </c>
      <c r="T21" s="99"/>
      <c r="U21" s="99">
        <v>11.5</v>
      </c>
      <c r="V21" s="99">
        <v>196.3</v>
      </c>
      <c r="W21" s="99"/>
      <c r="X21" s="99"/>
      <c r="Y21" s="99"/>
      <c r="Z21" s="99"/>
      <c r="AA21" s="99"/>
      <c r="AB21" s="99"/>
      <c r="AC21" s="99"/>
      <c r="AD21" s="99"/>
      <c r="AE21" s="99"/>
      <c r="AF21" s="99">
        <f t="shared" si="1"/>
        <v>1004.2</v>
      </c>
      <c r="AG21" s="99">
        <f t="shared" si="3"/>
        <v>347.5</v>
      </c>
      <c r="AI21" s="102"/>
    </row>
    <row r="22" spans="1:35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>
        <f t="shared" si="1"/>
        <v>0</v>
      </c>
      <c r="AG22" s="99">
        <f t="shared" si="3"/>
        <v>0</v>
      </c>
      <c r="AI22" s="102"/>
    </row>
    <row r="23" spans="1:35" s="101" customFormat="1" ht="15.75">
      <c r="A23" s="103" t="s">
        <v>23</v>
      </c>
      <c r="B23" s="98">
        <f>B15-B17-B18-B19-B20-B21-B22</f>
        <v>3674.740000000007</v>
      </c>
      <c r="C23" s="98">
        <v>3537.000000000011</v>
      </c>
      <c r="D23" s="99">
        <f aca="true" t="shared" si="4" ref="D23:AD23">D15-D17-D18-D19-D20-D21-D22</f>
        <v>0</v>
      </c>
      <c r="E23" s="99">
        <f t="shared" si="4"/>
        <v>0</v>
      </c>
      <c r="F23" s="99">
        <f t="shared" si="4"/>
        <v>0</v>
      </c>
      <c r="G23" s="99">
        <f t="shared" si="4"/>
        <v>508.5</v>
      </c>
      <c r="H23" s="99">
        <f t="shared" si="4"/>
        <v>190.29999999999995</v>
      </c>
      <c r="I23" s="99">
        <f t="shared" si="4"/>
        <v>0</v>
      </c>
      <c r="J23" s="99">
        <f t="shared" si="4"/>
        <v>13.20000000000016</v>
      </c>
      <c r="K23" s="99">
        <f t="shared" si="4"/>
        <v>245.90000000000293</v>
      </c>
      <c r="L23" s="99">
        <f t="shared" si="4"/>
        <v>59.69999999999982</v>
      </c>
      <c r="M23" s="99">
        <f t="shared" si="4"/>
        <v>224.89999999999992</v>
      </c>
      <c r="N23" s="99">
        <f t="shared" si="4"/>
        <v>15.299999999999955</v>
      </c>
      <c r="O23" s="99">
        <f t="shared" si="4"/>
        <v>2.700000000000273</v>
      </c>
      <c r="P23" s="99">
        <f t="shared" si="4"/>
        <v>41</v>
      </c>
      <c r="Q23" s="99">
        <f t="shared" si="4"/>
        <v>220.2</v>
      </c>
      <c r="R23" s="99">
        <f t="shared" si="4"/>
        <v>109.39999999999998</v>
      </c>
      <c r="S23" s="99">
        <f t="shared" si="4"/>
        <v>431.99999999999983</v>
      </c>
      <c r="T23" s="99">
        <f t="shared" si="4"/>
        <v>14.199999999999932</v>
      </c>
      <c r="U23" s="99">
        <f t="shared" si="4"/>
        <v>462.09999999999854</v>
      </c>
      <c r="V23" s="99">
        <f t="shared" si="4"/>
        <v>20.099999999999994</v>
      </c>
      <c r="W23" s="99">
        <f t="shared" si="4"/>
        <v>-0.2999999999999998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/>
      <c r="AF23" s="99">
        <f t="shared" si="1"/>
        <v>2559.200000000001</v>
      </c>
      <c r="AG23" s="99">
        <f t="shared" si="3"/>
        <v>4652.540000000017</v>
      </c>
      <c r="AI23" s="102"/>
    </row>
    <row r="24" spans="1:35" s="101" customFormat="1" ht="15" customHeight="1">
      <c r="A24" s="97" t="s">
        <v>7</v>
      </c>
      <c r="B24" s="98">
        <f>41417.8-99.1-467-180</f>
        <v>40671.700000000004</v>
      </c>
      <c r="C24" s="98">
        <v>7848.9000000000015</v>
      </c>
      <c r="D24" s="99"/>
      <c r="E24" s="99"/>
      <c r="F24" s="99">
        <v>50.4</v>
      </c>
      <c r="G24" s="99"/>
      <c r="H24" s="99">
        <v>1560.6</v>
      </c>
      <c r="I24" s="99"/>
      <c r="J24" s="99">
        <v>365</v>
      </c>
      <c r="K24" s="99">
        <f>382.7+21.5</f>
        <v>404.2</v>
      </c>
      <c r="L24" s="99">
        <f>377.5+9702.8</f>
        <v>10080.3</v>
      </c>
      <c r="M24" s="99"/>
      <c r="N24" s="99">
        <f>6002.3+983.7</f>
        <v>6986</v>
      </c>
      <c r="O24" s="99"/>
      <c r="P24" s="99">
        <v>102.6</v>
      </c>
      <c r="Q24" s="99">
        <v>170.9</v>
      </c>
      <c r="R24" s="99"/>
      <c r="S24" s="99">
        <v>1929.3</v>
      </c>
      <c r="T24" s="99">
        <f>5928.2+3314.6</f>
        <v>9242.8</v>
      </c>
      <c r="U24" s="99">
        <f>5249.2+585.3+45.6</f>
        <v>5880.1</v>
      </c>
      <c r="V24" s="99">
        <v>84</v>
      </c>
      <c r="W24" s="99"/>
      <c r="X24" s="99"/>
      <c r="Y24" s="99"/>
      <c r="Z24" s="99"/>
      <c r="AA24" s="99"/>
      <c r="AB24" s="99"/>
      <c r="AC24" s="99"/>
      <c r="AD24" s="99"/>
      <c r="AE24" s="99"/>
      <c r="AF24" s="99">
        <f t="shared" si="1"/>
        <v>36856.2</v>
      </c>
      <c r="AG24" s="99">
        <f t="shared" si="3"/>
        <v>11664.400000000009</v>
      </c>
      <c r="AI24" s="102"/>
    </row>
    <row r="25" spans="1:35" s="111" customFormat="1" ht="15" customHeight="1">
      <c r="A25" s="106" t="s">
        <v>39</v>
      </c>
      <c r="B25" s="107">
        <v>17038.2</v>
      </c>
      <c r="C25" s="107">
        <v>90.79999999999927</v>
      </c>
      <c r="D25" s="109"/>
      <c r="E25" s="109"/>
      <c r="F25" s="109">
        <v>50.4</v>
      </c>
      <c r="G25" s="109"/>
      <c r="H25" s="109">
        <v>1023.5</v>
      </c>
      <c r="I25" s="109"/>
      <c r="J25" s="109"/>
      <c r="K25" s="109">
        <v>21.4</v>
      </c>
      <c r="L25" s="109">
        <v>9702.8</v>
      </c>
      <c r="M25" s="109"/>
      <c r="N25" s="109">
        <v>983.7</v>
      </c>
      <c r="O25" s="109"/>
      <c r="P25" s="109"/>
      <c r="Q25" s="109"/>
      <c r="R25" s="109"/>
      <c r="S25" s="109">
        <v>1447.3</v>
      </c>
      <c r="T25" s="109">
        <v>3314.6</v>
      </c>
      <c r="U25" s="109">
        <v>585.3</v>
      </c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8">
        <f t="shared" si="1"/>
        <v>17128.999999999996</v>
      </c>
      <c r="AG25" s="108">
        <f t="shared" si="3"/>
        <v>0</v>
      </c>
      <c r="AH25" s="110"/>
      <c r="AI25" s="102"/>
    </row>
    <row r="26" spans="1:35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>
        <f t="shared" si="1"/>
        <v>0</v>
      </c>
      <c r="AG26" s="99">
        <f t="shared" si="3"/>
        <v>0</v>
      </c>
      <c r="AH26" s="102"/>
      <c r="AI26" s="102"/>
    </row>
    <row r="27" spans="1:35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>
        <f t="shared" si="1"/>
        <v>0</v>
      </c>
      <c r="AG27" s="99">
        <f t="shared" si="3"/>
        <v>0</v>
      </c>
      <c r="AI27" s="102"/>
    </row>
    <row r="28" spans="1:35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>
        <f t="shared" si="1"/>
        <v>0</v>
      </c>
      <c r="AG28" s="99">
        <f t="shared" si="3"/>
        <v>0</v>
      </c>
      <c r="AI28" s="102"/>
    </row>
    <row r="29" spans="1:35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>
        <f t="shared" si="1"/>
        <v>0</v>
      </c>
      <c r="AG29" s="99">
        <f t="shared" si="3"/>
        <v>0</v>
      </c>
      <c r="AI29" s="102"/>
    </row>
    <row r="30" spans="1:35" s="101" customFormat="1" ht="15.75">
      <c r="A30" s="103" t="s">
        <v>16</v>
      </c>
      <c r="B30" s="98">
        <v>90.8</v>
      </c>
      <c r="C30" s="98">
        <v>90.9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>
        <f t="shared" si="1"/>
        <v>0</v>
      </c>
      <c r="AG30" s="99">
        <f t="shared" si="3"/>
        <v>181.7</v>
      </c>
      <c r="AI30" s="102"/>
    </row>
    <row r="31" spans="1:35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>
        <f t="shared" si="1"/>
        <v>0</v>
      </c>
      <c r="AG31" s="99">
        <f t="shared" si="3"/>
        <v>0</v>
      </c>
      <c r="AI31" s="102"/>
    </row>
    <row r="32" spans="1:35" s="101" customFormat="1" ht="15.75">
      <c r="A32" s="103" t="s">
        <v>23</v>
      </c>
      <c r="B32" s="98">
        <f>B24-B30</f>
        <v>40580.9</v>
      </c>
      <c r="C32" s="98">
        <v>7758.000000000002</v>
      </c>
      <c r="D32" s="99">
        <f aca="true" t="shared" si="5" ref="D32:AD32">D24-D26-D27-D28-D29-D30-D31</f>
        <v>0</v>
      </c>
      <c r="E32" s="99">
        <f t="shared" si="5"/>
        <v>0</v>
      </c>
      <c r="F32" s="99">
        <f t="shared" si="5"/>
        <v>50.4</v>
      </c>
      <c r="G32" s="99">
        <f t="shared" si="5"/>
        <v>0</v>
      </c>
      <c r="H32" s="99">
        <f t="shared" si="5"/>
        <v>1560.6</v>
      </c>
      <c r="I32" s="99">
        <f t="shared" si="5"/>
        <v>0</v>
      </c>
      <c r="J32" s="99">
        <f t="shared" si="5"/>
        <v>365</v>
      </c>
      <c r="K32" s="99">
        <f t="shared" si="5"/>
        <v>404.2</v>
      </c>
      <c r="L32" s="99">
        <f t="shared" si="5"/>
        <v>10080.3</v>
      </c>
      <c r="M32" s="99">
        <f t="shared" si="5"/>
        <v>0</v>
      </c>
      <c r="N32" s="99">
        <f t="shared" si="5"/>
        <v>6986</v>
      </c>
      <c r="O32" s="99">
        <f t="shared" si="5"/>
        <v>0</v>
      </c>
      <c r="P32" s="99">
        <f t="shared" si="5"/>
        <v>102.6</v>
      </c>
      <c r="Q32" s="99">
        <f t="shared" si="5"/>
        <v>170.9</v>
      </c>
      <c r="R32" s="99">
        <f t="shared" si="5"/>
        <v>0</v>
      </c>
      <c r="S32" s="99">
        <f t="shared" si="5"/>
        <v>1929.3</v>
      </c>
      <c r="T32" s="99">
        <f t="shared" si="5"/>
        <v>9242.8</v>
      </c>
      <c r="U32" s="99">
        <f t="shared" si="5"/>
        <v>5880.1</v>
      </c>
      <c r="V32" s="99">
        <f t="shared" si="5"/>
        <v>84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/>
      <c r="AF32" s="99">
        <f t="shared" si="1"/>
        <v>36856.2</v>
      </c>
      <c r="AG32" s="99">
        <f>AG24-AG30</f>
        <v>11482.700000000008</v>
      </c>
      <c r="AI32" s="102"/>
    </row>
    <row r="33" spans="1:35" s="101" customFormat="1" ht="15" customHeight="1">
      <c r="A33" s="97" t="s">
        <v>8</v>
      </c>
      <c r="B33" s="98">
        <v>392.8</v>
      </c>
      <c r="C33" s="98">
        <v>192.80000000000007</v>
      </c>
      <c r="D33" s="99"/>
      <c r="E33" s="99"/>
      <c r="F33" s="99"/>
      <c r="G33" s="99"/>
      <c r="H33" s="99"/>
      <c r="I33" s="99"/>
      <c r="J33" s="99"/>
      <c r="K33" s="99">
        <v>100.7</v>
      </c>
      <c r="L33" s="99"/>
      <c r="M33" s="99"/>
      <c r="N33" s="99">
        <v>125</v>
      </c>
      <c r="O33" s="99"/>
      <c r="P33" s="99"/>
      <c r="Q33" s="99"/>
      <c r="R33" s="99"/>
      <c r="S33" s="99">
        <v>0.6</v>
      </c>
      <c r="T33" s="99">
        <v>0.8</v>
      </c>
      <c r="U33" s="99">
        <v>205.3</v>
      </c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>
        <f t="shared" si="1"/>
        <v>432.4</v>
      </c>
      <c r="AG33" s="99">
        <f aca="true" t="shared" si="6" ref="AG33:AG38">B33+C33-AF33</f>
        <v>153.20000000000016</v>
      </c>
      <c r="AI33" s="102"/>
    </row>
    <row r="34" spans="1:35" s="101" customFormat="1" ht="15.75">
      <c r="A34" s="103" t="s">
        <v>5</v>
      </c>
      <c r="B34" s="98">
        <v>299.5</v>
      </c>
      <c r="C34" s="98">
        <v>23.899999999999977</v>
      </c>
      <c r="D34" s="99"/>
      <c r="E34" s="99"/>
      <c r="F34" s="99"/>
      <c r="G34" s="99"/>
      <c r="H34" s="99"/>
      <c r="I34" s="99"/>
      <c r="J34" s="99"/>
      <c r="K34" s="99">
        <v>95.6</v>
      </c>
      <c r="L34" s="99"/>
      <c r="M34" s="99"/>
      <c r="N34" s="99"/>
      <c r="O34" s="99"/>
      <c r="P34" s="99"/>
      <c r="Q34" s="99"/>
      <c r="R34" s="99"/>
      <c r="S34" s="99"/>
      <c r="T34" s="99"/>
      <c r="U34" s="99">
        <v>203.1</v>
      </c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>
        <f t="shared" si="1"/>
        <v>298.7</v>
      </c>
      <c r="AG34" s="99">
        <f t="shared" si="6"/>
        <v>24.69999999999999</v>
      </c>
      <c r="AI34" s="102"/>
    </row>
    <row r="35" spans="1:35" s="101" customFormat="1" ht="15.75" hidden="1">
      <c r="A35" s="103" t="s">
        <v>1</v>
      </c>
      <c r="B35" s="98"/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>
        <f t="shared" si="1"/>
        <v>0</v>
      </c>
      <c r="AG35" s="99">
        <f t="shared" si="6"/>
        <v>0</v>
      </c>
      <c r="AI35" s="102"/>
    </row>
    <row r="36" spans="1:35" s="101" customFormat="1" ht="15.75">
      <c r="A36" s="103" t="s">
        <v>2</v>
      </c>
      <c r="B36" s="112">
        <v>79.9</v>
      </c>
      <c r="C36" s="98">
        <v>117.1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>
        <v>118.8</v>
      </c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>
        <f t="shared" si="1"/>
        <v>118.8</v>
      </c>
      <c r="AG36" s="99">
        <f t="shared" si="6"/>
        <v>78.2</v>
      </c>
      <c r="AI36" s="102"/>
    </row>
    <row r="37" spans="1:35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>
        <f t="shared" si="1"/>
        <v>0</v>
      </c>
      <c r="AG37" s="99">
        <f t="shared" si="6"/>
        <v>0</v>
      </c>
      <c r="AI37" s="102"/>
    </row>
    <row r="38" spans="1:35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>
        <f t="shared" si="1"/>
        <v>0</v>
      </c>
      <c r="AG38" s="99">
        <f t="shared" si="6"/>
        <v>0</v>
      </c>
      <c r="AI38" s="102"/>
    </row>
    <row r="39" spans="1:35" s="101" customFormat="1" ht="15.75">
      <c r="A39" s="103" t="s">
        <v>23</v>
      </c>
      <c r="B39" s="98">
        <f aca="true" t="shared" si="7" ref="B39:AD39">B33-B34-B36-B38-B37-B35</f>
        <v>13.400000000000006</v>
      </c>
      <c r="C39" s="98">
        <v>51.8000000000001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 t="shared" si="7"/>
        <v>0</v>
      </c>
      <c r="I39" s="99">
        <f t="shared" si="7"/>
        <v>0</v>
      </c>
      <c r="J39" s="99">
        <f t="shared" si="7"/>
        <v>0</v>
      </c>
      <c r="K39" s="99">
        <f t="shared" si="7"/>
        <v>5.1000000000000085</v>
      </c>
      <c r="L39" s="99">
        <f t="shared" si="7"/>
        <v>0</v>
      </c>
      <c r="M39" s="99">
        <f t="shared" si="7"/>
        <v>0</v>
      </c>
      <c r="N39" s="99">
        <f t="shared" si="7"/>
        <v>6.200000000000003</v>
      </c>
      <c r="O39" s="99">
        <f t="shared" si="7"/>
        <v>0</v>
      </c>
      <c r="P39" s="99">
        <f t="shared" si="7"/>
        <v>0</v>
      </c>
      <c r="Q39" s="99">
        <f t="shared" si="7"/>
        <v>0</v>
      </c>
      <c r="R39" s="99">
        <f t="shared" si="7"/>
        <v>0</v>
      </c>
      <c r="S39" s="99">
        <f t="shared" si="7"/>
        <v>0.6</v>
      </c>
      <c r="T39" s="99">
        <f t="shared" si="7"/>
        <v>0.8</v>
      </c>
      <c r="U39" s="99">
        <f t="shared" si="7"/>
        <v>2.200000000000017</v>
      </c>
      <c r="V39" s="99">
        <f t="shared" si="7"/>
        <v>0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/>
      <c r="AF39" s="99">
        <f t="shared" si="1"/>
        <v>14.900000000000029</v>
      </c>
      <c r="AG39" s="99">
        <f>AG33-AG34-AG36-AG38-AG35-AG37</f>
        <v>50.30000000000017</v>
      </c>
      <c r="AI39" s="102"/>
    </row>
    <row r="40" spans="1:35" s="101" customFormat="1" ht="15" customHeight="1">
      <c r="A40" s="97" t="s">
        <v>29</v>
      </c>
      <c r="B40" s="98">
        <v>1540.7</v>
      </c>
      <c r="C40" s="98">
        <v>121.79999999999995</v>
      </c>
      <c r="D40" s="99"/>
      <c r="E40" s="99"/>
      <c r="F40" s="99"/>
      <c r="G40" s="99">
        <v>71.3</v>
      </c>
      <c r="H40" s="99"/>
      <c r="I40" s="99"/>
      <c r="J40" s="99">
        <v>15.4</v>
      </c>
      <c r="K40" s="99"/>
      <c r="L40" s="99">
        <v>390.3</v>
      </c>
      <c r="M40" s="99">
        <v>13.8</v>
      </c>
      <c r="N40" s="99"/>
      <c r="O40" s="99">
        <v>56.1</v>
      </c>
      <c r="P40" s="99"/>
      <c r="Q40" s="99"/>
      <c r="R40" s="99"/>
      <c r="S40" s="99"/>
      <c r="T40" s="99"/>
      <c r="U40" s="99">
        <v>905.8</v>
      </c>
      <c r="V40" s="99">
        <v>4.8</v>
      </c>
      <c r="W40" s="99"/>
      <c r="X40" s="99"/>
      <c r="Y40" s="99"/>
      <c r="Z40" s="99"/>
      <c r="AA40" s="99"/>
      <c r="AB40" s="99"/>
      <c r="AC40" s="99"/>
      <c r="AD40" s="99"/>
      <c r="AE40" s="99"/>
      <c r="AF40" s="99">
        <f t="shared" si="1"/>
        <v>1457.4999999999998</v>
      </c>
      <c r="AG40" s="99">
        <f aca="true" t="shared" si="8" ref="AG40:AG45">B40+C40-AF40</f>
        <v>205.00000000000023</v>
      </c>
      <c r="AI40" s="102"/>
    </row>
    <row r="41" spans="1:35" s="101" customFormat="1" ht="15.75">
      <c r="A41" s="103" t="s">
        <v>5</v>
      </c>
      <c r="B41" s="98">
        <v>1297.1</v>
      </c>
      <c r="C41" s="98">
        <v>77.69999999999982</v>
      </c>
      <c r="D41" s="99"/>
      <c r="E41" s="99"/>
      <c r="F41" s="99"/>
      <c r="G41" s="99"/>
      <c r="H41" s="99"/>
      <c r="I41" s="99"/>
      <c r="J41" s="99"/>
      <c r="K41" s="99"/>
      <c r="L41" s="99">
        <v>377.1</v>
      </c>
      <c r="M41" s="99"/>
      <c r="N41" s="99"/>
      <c r="O41" s="99"/>
      <c r="P41" s="99"/>
      <c r="Q41" s="99"/>
      <c r="R41" s="99"/>
      <c r="S41" s="99"/>
      <c r="T41" s="99"/>
      <c r="U41" s="99">
        <v>896.5</v>
      </c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>
        <f t="shared" si="1"/>
        <v>1273.6</v>
      </c>
      <c r="AG41" s="99">
        <f t="shared" si="8"/>
        <v>101.19999999999982</v>
      </c>
      <c r="AH41" s="102"/>
      <c r="AI41" s="102"/>
    </row>
    <row r="42" spans="1:35" s="101" customFormat="1" ht="15.75">
      <c r="A42" s="103" t="s">
        <v>3</v>
      </c>
      <c r="B42" s="98">
        <v>0.9</v>
      </c>
      <c r="C42" s="98">
        <v>0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>
        <f t="shared" si="1"/>
        <v>0</v>
      </c>
      <c r="AG42" s="99">
        <f t="shared" si="8"/>
        <v>0.9</v>
      </c>
      <c r="AI42" s="102"/>
    </row>
    <row r="43" spans="1:35" s="101" customFormat="1" ht="15.75">
      <c r="A43" s="103" t="s">
        <v>1</v>
      </c>
      <c r="B43" s="98">
        <v>10.3</v>
      </c>
      <c r="C43" s="98">
        <v>2.5</v>
      </c>
      <c r="D43" s="99"/>
      <c r="E43" s="99"/>
      <c r="F43" s="99"/>
      <c r="G43" s="99"/>
      <c r="H43" s="99"/>
      <c r="I43" s="99"/>
      <c r="J43" s="99"/>
      <c r="K43" s="99"/>
      <c r="L43" s="99">
        <v>10.5</v>
      </c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>
        <f t="shared" si="1"/>
        <v>10.5</v>
      </c>
      <c r="AG43" s="99">
        <f t="shared" si="8"/>
        <v>2.3000000000000007</v>
      </c>
      <c r="AI43" s="102"/>
    </row>
    <row r="44" spans="1:35" s="101" customFormat="1" ht="15.75">
      <c r="A44" s="103" t="s">
        <v>2</v>
      </c>
      <c r="B44" s="98">
        <v>197.3</v>
      </c>
      <c r="C44" s="98">
        <v>37.00000000000003</v>
      </c>
      <c r="D44" s="99"/>
      <c r="E44" s="99"/>
      <c r="F44" s="99"/>
      <c r="G44" s="99">
        <v>65.8</v>
      </c>
      <c r="H44" s="99"/>
      <c r="I44" s="99"/>
      <c r="J44" s="99">
        <v>15.4</v>
      </c>
      <c r="K44" s="99"/>
      <c r="L44" s="99">
        <v>2.2</v>
      </c>
      <c r="M44" s="99"/>
      <c r="N44" s="99"/>
      <c r="O44" s="99">
        <v>56.1</v>
      </c>
      <c r="P44" s="99"/>
      <c r="Q44" s="99"/>
      <c r="R44" s="99"/>
      <c r="S44" s="99"/>
      <c r="T44" s="99"/>
      <c r="U44" s="99">
        <v>2.7</v>
      </c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>
        <f t="shared" si="1"/>
        <v>142.2</v>
      </c>
      <c r="AG44" s="99">
        <f t="shared" si="8"/>
        <v>92.10000000000005</v>
      </c>
      <c r="AI44" s="102"/>
    </row>
    <row r="45" spans="1:35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>
        <f t="shared" si="1"/>
        <v>0</v>
      </c>
      <c r="AG45" s="99">
        <f t="shared" si="8"/>
        <v>0</v>
      </c>
      <c r="AI45" s="102"/>
    </row>
    <row r="46" spans="1:35" s="101" customFormat="1" ht="15.75">
      <c r="A46" s="103" t="s">
        <v>23</v>
      </c>
      <c r="B46" s="98">
        <f aca="true" t="shared" si="9" ref="B46:AD46">B40-B41-B42-B43-B44-B45</f>
        <v>35.10000000000011</v>
      </c>
      <c r="C46" s="98">
        <v>4.600000000000108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5.5</v>
      </c>
      <c r="H46" s="99">
        <f t="shared" si="9"/>
        <v>0</v>
      </c>
      <c r="I46" s="99">
        <f t="shared" si="9"/>
        <v>0</v>
      </c>
      <c r="J46" s="99">
        <f t="shared" si="9"/>
        <v>0</v>
      </c>
      <c r="K46" s="99">
        <f t="shared" si="9"/>
        <v>0</v>
      </c>
      <c r="L46" s="99">
        <f t="shared" si="9"/>
        <v>0.49999999999998845</v>
      </c>
      <c r="M46" s="99">
        <f t="shared" si="9"/>
        <v>13.8</v>
      </c>
      <c r="N46" s="99">
        <f t="shared" si="9"/>
        <v>0</v>
      </c>
      <c r="O46" s="99">
        <f t="shared" si="9"/>
        <v>0</v>
      </c>
      <c r="P46" s="99">
        <f t="shared" si="9"/>
        <v>0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6.599999999999954</v>
      </c>
      <c r="V46" s="99">
        <f t="shared" si="9"/>
        <v>4.8</v>
      </c>
      <c r="W46" s="99">
        <f t="shared" si="9"/>
        <v>0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/>
      <c r="AF46" s="99">
        <f t="shared" si="1"/>
        <v>31.199999999999946</v>
      </c>
      <c r="AG46" s="99">
        <f>AG40-AG41-AG42-AG43-AG44-AG45</f>
        <v>8.500000000000355</v>
      </c>
      <c r="AI46" s="102"/>
    </row>
    <row r="47" spans="1:35" s="101" customFormat="1" ht="17.25" customHeight="1">
      <c r="A47" s="97" t="s">
        <v>43</v>
      </c>
      <c r="B47" s="104">
        <f>6488.7+7.6+1.8</f>
        <v>6498.1</v>
      </c>
      <c r="C47" s="98">
        <v>2565.699999999999</v>
      </c>
      <c r="D47" s="99"/>
      <c r="E47" s="113"/>
      <c r="F47" s="113"/>
      <c r="G47" s="113">
        <v>592.9</v>
      </c>
      <c r="H47" s="113">
        <v>250.5</v>
      </c>
      <c r="I47" s="113"/>
      <c r="J47" s="113">
        <v>1840.9</v>
      </c>
      <c r="K47" s="113">
        <v>85.5</v>
      </c>
      <c r="L47" s="113"/>
      <c r="M47" s="113"/>
      <c r="N47" s="113">
        <v>148.3</v>
      </c>
      <c r="O47" s="113">
        <v>534.2</v>
      </c>
      <c r="P47" s="113"/>
      <c r="Q47" s="113">
        <v>1861</v>
      </c>
      <c r="R47" s="113">
        <v>58.9</v>
      </c>
      <c r="S47" s="113"/>
      <c r="T47" s="113">
        <v>713.5</v>
      </c>
      <c r="U47" s="113">
        <v>44.9</v>
      </c>
      <c r="V47" s="113">
        <v>41.9</v>
      </c>
      <c r="W47" s="113">
        <v>28.7</v>
      </c>
      <c r="X47" s="113"/>
      <c r="Y47" s="113"/>
      <c r="Z47" s="113"/>
      <c r="AA47" s="113"/>
      <c r="AB47" s="113"/>
      <c r="AC47" s="113"/>
      <c r="AD47" s="113"/>
      <c r="AE47" s="113"/>
      <c r="AF47" s="99">
        <f t="shared" si="1"/>
        <v>6201.199999999999</v>
      </c>
      <c r="AG47" s="99">
        <f>B47+C47-AF47</f>
        <v>2862.6000000000004</v>
      </c>
      <c r="AI47" s="102"/>
    </row>
    <row r="48" spans="1:35" s="101" customFormat="1" ht="15.75">
      <c r="A48" s="103" t="s">
        <v>5</v>
      </c>
      <c r="B48" s="98">
        <v>54.4</v>
      </c>
      <c r="C48" s="98">
        <v>0</v>
      </c>
      <c r="D48" s="99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99">
        <f t="shared" si="1"/>
        <v>0</v>
      </c>
      <c r="AG48" s="99">
        <f>B48+C48-AF48</f>
        <v>54.4</v>
      </c>
      <c r="AI48" s="102"/>
    </row>
    <row r="49" spans="1:35" s="101" customFormat="1" ht="15.75">
      <c r="A49" s="103" t="s">
        <v>16</v>
      </c>
      <c r="B49" s="98">
        <f>5747.4+7.6+220.3</f>
        <v>5975.3</v>
      </c>
      <c r="C49" s="98">
        <v>1525.8999999999996</v>
      </c>
      <c r="D49" s="99"/>
      <c r="E49" s="99"/>
      <c r="F49" s="99"/>
      <c r="G49" s="99">
        <v>582.9</v>
      </c>
      <c r="H49" s="99">
        <v>250.5</v>
      </c>
      <c r="I49" s="99"/>
      <c r="J49" s="99">
        <v>1833.3</v>
      </c>
      <c r="K49" s="99">
        <v>55</v>
      </c>
      <c r="L49" s="99"/>
      <c r="M49" s="99"/>
      <c r="N49" s="99">
        <v>120.2</v>
      </c>
      <c r="O49" s="99">
        <v>529.4</v>
      </c>
      <c r="P49" s="99"/>
      <c r="Q49" s="99">
        <v>1861</v>
      </c>
      <c r="R49" s="99">
        <v>47.8</v>
      </c>
      <c r="S49" s="99"/>
      <c r="T49" s="99">
        <v>713.5</v>
      </c>
      <c r="U49" s="99"/>
      <c r="V49" s="99">
        <f>35.2+1.8</f>
        <v>37</v>
      </c>
      <c r="W49" s="99"/>
      <c r="X49" s="99"/>
      <c r="Y49" s="99"/>
      <c r="Z49" s="99"/>
      <c r="AA49" s="99"/>
      <c r="AB49" s="99"/>
      <c r="AC49" s="99"/>
      <c r="AD49" s="99"/>
      <c r="AE49" s="99"/>
      <c r="AF49" s="99">
        <f t="shared" si="1"/>
        <v>6030.599999999999</v>
      </c>
      <c r="AG49" s="99">
        <f>B49+C49-AF49</f>
        <v>1470.6000000000004</v>
      </c>
      <c r="AI49" s="102"/>
    </row>
    <row r="50" spans="1:35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>
        <f t="shared" si="1"/>
        <v>0</v>
      </c>
      <c r="AG50" s="99">
        <f>B50+C50-AF50</f>
        <v>0</v>
      </c>
      <c r="AI50" s="102"/>
    </row>
    <row r="51" spans="1:35" s="101" customFormat="1" ht="15.75">
      <c r="A51" s="115" t="s">
        <v>23</v>
      </c>
      <c r="B51" s="98">
        <f aca="true" t="shared" si="10" ref="B51:AD51">B47-B48-B49</f>
        <v>468.40000000000055</v>
      </c>
      <c r="C51" s="98">
        <v>1039.7999999999993</v>
      </c>
      <c r="D51" s="99">
        <f t="shared" si="10"/>
        <v>0</v>
      </c>
      <c r="E51" s="99">
        <f t="shared" si="10"/>
        <v>0</v>
      </c>
      <c r="F51" s="99">
        <f t="shared" si="10"/>
        <v>0</v>
      </c>
      <c r="G51" s="99">
        <f t="shared" si="10"/>
        <v>10</v>
      </c>
      <c r="H51" s="99">
        <f t="shared" si="10"/>
        <v>0</v>
      </c>
      <c r="I51" s="99">
        <f t="shared" si="10"/>
        <v>0</v>
      </c>
      <c r="J51" s="99">
        <f t="shared" si="10"/>
        <v>7.600000000000136</v>
      </c>
      <c r="K51" s="99">
        <f t="shared" si="10"/>
        <v>30.5</v>
      </c>
      <c r="L51" s="99">
        <f t="shared" si="10"/>
        <v>0</v>
      </c>
      <c r="M51" s="99">
        <f t="shared" si="10"/>
        <v>0</v>
      </c>
      <c r="N51" s="99">
        <f t="shared" si="10"/>
        <v>28.10000000000001</v>
      </c>
      <c r="O51" s="99">
        <f t="shared" si="10"/>
        <v>4.800000000000068</v>
      </c>
      <c r="P51" s="99">
        <f t="shared" si="10"/>
        <v>0</v>
      </c>
      <c r="Q51" s="99">
        <f t="shared" si="10"/>
        <v>0</v>
      </c>
      <c r="R51" s="99">
        <f t="shared" si="10"/>
        <v>11.100000000000001</v>
      </c>
      <c r="S51" s="99">
        <f t="shared" si="10"/>
        <v>0</v>
      </c>
      <c r="T51" s="99">
        <f t="shared" si="10"/>
        <v>0</v>
      </c>
      <c r="U51" s="99">
        <f t="shared" si="10"/>
        <v>44.9</v>
      </c>
      <c r="V51" s="99">
        <f t="shared" si="10"/>
        <v>4.899999999999999</v>
      </c>
      <c r="W51" s="99">
        <f t="shared" si="10"/>
        <v>28.7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/>
      <c r="AF51" s="99">
        <f t="shared" si="1"/>
        <v>170.60000000000022</v>
      </c>
      <c r="AG51" s="99">
        <f>AG47-AG49-AG48</f>
        <v>1337.6</v>
      </c>
      <c r="AI51" s="102"/>
    </row>
    <row r="52" spans="1:35" s="101" customFormat="1" ht="15" customHeight="1">
      <c r="A52" s="97" t="s">
        <v>0</v>
      </c>
      <c r="B52" s="98">
        <f>9469.6-56.6+5204.9</f>
        <v>14617.9</v>
      </c>
      <c r="C52" s="98">
        <v>2815.9999999999995</v>
      </c>
      <c r="D52" s="99"/>
      <c r="E52" s="99"/>
      <c r="F52" s="99"/>
      <c r="G52" s="99">
        <v>121.6</v>
      </c>
      <c r="H52" s="99">
        <v>525.1</v>
      </c>
      <c r="I52" s="99"/>
      <c r="J52" s="99">
        <v>495.6</v>
      </c>
      <c r="K52" s="99">
        <v>452.5</v>
      </c>
      <c r="L52" s="99">
        <v>67.7</v>
      </c>
      <c r="M52" s="99">
        <v>766.7</v>
      </c>
      <c r="N52" s="99">
        <v>27.8</v>
      </c>
      <c r="O52" s="99">
        <v>2611.4</v>
      </c>
      <c r="P52" s="99"/>
      <c r="Q52" s="99">
        <v>110.1</v>
      </c>
      <c r="R52" s="99">
        <v>3.8</v>
      </c>
      <c r="S52" s="99">
        <v>3.3</v>
      </c>
      <c r="T52" s="99">
        <v>441.8</v>
      </c>
      <c r="U52" s="99">
        <v>656.5</v>
      </c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>
        <f t="shared" si="1"/>
        <v>6283.9000000000015</v>
      </c>
      <c r="AG52" s="99">
        <f aca="true" t="shared" si="11" ref="AG52:AG59">B52+C52-AF52</f>
        <v>11149.999999999996</v>
      </c>
      <c r="AI52" s="102"/>
    </row>
    <row r="53" spans="1:35" s="101" customFormat="1" ht="15" customHeight="1">
      <c r="A53" s="103" t="s">
        <v>2</v>
      </c>
      <c r="B53" s="98">
        <f>1894.6+200</f>
        <v>2094.6</v>
      </c>
      <c r="C53" s="98">
        <v>1418</v>
      </c>
      <c r="D53" s="99"/>
      <c r="E53" s="99"/>
      <c r="F53" s="99"/>
      <c r="G53" s="99">
        <v>1.6</v>
      </c>
      <c r="H53" s="99"/>
      <c r="I53" s="99"/>
      <c r="J53" s="99"/>
      <c r="K53" s="99"/>
      <c r="L53" s="99"/>
      <c r="M53" s="99"/>
      <c r="N53" s="99"/>
      <c r="O53" s="99">
        <v>2603.8</v>
      </c>
      <c r="P53" s="99"/>
      <c r="Q53" s="99"/>
      <c r="R53" s="99">
        <v>3.8</v>
      </c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>
        <f t="shared" si="1"/>
        <v>2609.2000000000003</v>
      </c>
      <c r="AG53" s="99">
        <f t="shared" si="11"/>
        <v>903.3999999999996</v>
      </c>
      <c r="AI53" s="102"/>
    </row>
    <row r="54" spans="1:35" s="101" customFormat="1" ht="15" customHeight="1">
      <c r="A54" s="97" t="s">
        <v>9</v>
      </c>
      <c r="B54" s="112">
        <v>2665</v>
      </c>
      <c r="C54" s="98">
        <v>732.3000000000002</v>
      </c>
      <c r="D54" s="99"/>
      <c r="E54" s="99"/>
      <c r="F54" s="99"/>
      <c r="G54" s="99">
        <v>111.5</v>
      </c>
      <c r="H54" s="99"/>
      <c r="I54" s="99"/>
      <c r="J54" s="99">
        <v>189.8</v>
      </c>
      <c r="K54" s="99">
        <v>1.9</v>
      </c>
      <c r="L54" s="99">
        <v>691.5</v>
      </c>
      <c r="M54" s="99">
        <v>343.2</v>
      </c>
      <c r="N54" s="99">
        <v>7.5</v>
      </c>
      <c r="O54" s="99">
        <v>137</v>
      </c>
      <c r="P54" s="99"/>
      <c r="Q54" s="99">
        <v>2.4</v>
      </c>
      <c r="R54" s="99">
        <v>142.9</v>
      </c>
      <c r="S54" s="99">
        <v>7.4</v>
      </c>
      <c r="T54" s="99"/>
      <c r="U54" s="99">
        <v>11.4</v>
      </c>
      <c r="V54" s="99">
        <v>645.7</v>
      </c>
      <c r="W54" s="99">
        <v>261.3</v>
      </c>
      <c r="X54" s="99"/>
      <c r="Y54" s="99"/>
      <c r="Z54" s="99"/>
      <c r="AA54" s="99"/>
      <c r="AB54" s="99"/>
      <c r="AC54" s="99"/>
      <c r="AD54" s="99"/>
      <c r="AE54" s="99"/>
      <c r="AF54" s="99">
        <f t="shared" si="1"/>
        <v>2553.500000000001</v>
      </c>
      <c r="AG54" s="99">
        <f t="shared" si="11"/>
        <v>843.7999999999993</v>
      </c>
      <c r="AH54" s="102"/>
      <c r="AI54" s="102"/>
    </row>
    <row r="55" spans="1:35" s="101" customFormat="1" ht="15.75">
      <c r="A55" s="103" t="s">
        <v>5</v>
      </c>
      <c r="B55" s="98">
        <v>1185</v>
      </c>
      <c r="C55" s="98">
        <v>185.39999999999986</v>
      </c>
      <c r="D55" s="99"/>
      <c r="E55" s="99"/>
      <c r="F55" s="99"/>
      <c r="G55" s="99"/>
      <c r="H55" s="99"/>
      <c r="I55" s="99"/>
      <c r="J55" s="99"/>
      <c r="K55" s="99"/>
      <c r="L55" s="99">
        <v>494.6</v>
      </c>
      <c r="M55" s="99"/>
      <c r="N55" s="99"/>
      <c r="O55" s="99"/>
      <c r="P55" s="99"/>
      <c r="Q55" s="99"/>
      <c r="R55" s="99"/>
      <c r="S55" s="99"/>
      <c r="T55" s="99"/>
      <c r="U55" s="99">
        <v>11.4</v>
      </c>
      <c r="V55" s="99">
        <v>607.6</v>
      </c>
      <c r="W55" s="99">
        <v>26.4</v>
      </c>
      <c r="X55" s="99"/>
      <c r="Y55" s="99"/>
      <c r="Z55" s="99"/>
      <c r="AA55" s="99"/>
      <c r="AB55" s="99"/>
      <c r="AC55" s="99"/>
      <c r="AD55" s="99"/>
      <c r="AE55" s="99"/>
      <c r="AF55" s="99">
        <f t="shared" si="1"/>
        <v>1140</v>
      </c>
      <c r="AG55" s="99">
        <f t="shared" si="11"/>
        <v>230.39999999999986</v>
      </c>
      <c r="AH55" s="102"/>
      <c r="AI55" s="102"/>
    </row>
    <row r="56" spans="1:35" s="101" customFormat="1" ht="15" customHeight="1">
      <c r="A56" s="103" t="s">
        <v>1</v>
      </c>
      <c r="B56" s="98">
        <v>7.5</v>
      </c>
      <c r="C56" s="98">
        <v>0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>
        <v>7.5</v>
      </c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>
        <f t="shared" si="1"/>
        <v>7.5</v>
      </c>
      <c r="AG56" s="99">
        <f t="shared" si="11"/>
        <v>0</v>
      </c>
      <c r="AH56" s="102"/>
      <c r="AI56" s="102"/>
    </row>
    <row r="57" spans="1:35" s="101" customFormat="1" ht="15.75">
      <c r="A57" s="103" t="s">
        <v>2</v>
      </c>
      <c r="B57" s="104">
        <v>384.6</v>
      </c>
      <c r="C57" s="98">
        <v>199.59999999999997</v>
      </c>
      <c r="D57" s="99"/>
      <c r="E57" s="99"/>
      <c r="F57" s="99"/>
      <c r="G57" s="99"/>
      <c r="H57" s="99"/>
      <c r="I57" s="99"/>
      <c r="J57" s="99"/>
      <c r="K57" s="99"/>
      <c r="L57" s="99">
        <v>98.5</v>
      </c>
      <c r="M57" s="99"/>
      <c r="N57" s="99"/>
      <c r="O57" s="99"/>
      <c r="P57" s="99"/>
      <c r="Q57" s="99"/>
      <c r="R57" s="99">
        <v>76.9</v>
      </c>
      <c r="S57" s="99">
        <v>0.5</v>
      </c>
      <c r="T57" s="99"/>
      <c r="U57" s="99"/>
      <c r="V57" s="99"/>
      <c r="W57" s="99">
        <v>2.2</v>
      </c>
      <c r="X57" s="99"/>
      <c r="Y57" s="99"/>
      <c r="Z57" s="99"/>
      <c r="AA57" s="99"/>
      <c r="AB57" s="99"/>
      <c r="AC57" s="99"/>
      <c r="AD57" s="99"/>
      <c r="AE57" s="99"/>
      <c r="AF57" s="99">
        <f t="shared" si="1"/>
        <v>178.1</v>
      </c>
      <c r="AG57" s="99">
        <f t="shared" si="11"/>
        <v>406.1</v>
      </c>
      <c r="AI57" s="102"/>
    </row>
    <row r="58" spans="1:35" s="101" customFormat="1" ht="15.75">
      <c r="A58" s="103" t="s">
        <v>16</v>
      </c>
      <c r="B58" s="104">
        <f>17+8.7</f>
        <v>25.7</v>
      </c>
      <c r="C58" s="98">
        <v>28.9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>
        <v>45.9</v>
      </c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>
        <f t="shared" si="1"/>
        <v>45.9</v>
      </c>
      <c r="AG58" s="99">
        <f t="shared" si="11"/>
        <v>8.699999999999996</v>
      </c>
      <c r="AI58" s="102"/>
    </row>
    <row r="59" spans="1:35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>
        <f t="shared" si="1"/>
        <v>0</v>
      </c>
      <c r="AG59" s="99">
        <f t="shared" si="11"/>
        <v>0</v>
      </c>
      <c r="AI59" s="102"/>
    </row>
    <row r="60" spans="1:35" s="101" customFormat="1" ht="15.75">
      <c r="A60" s="103" t="s">
        <v>23</v>
      </c>
      <c r="B60" s="98">
        <f aca="true" t="shared" si="12" ref="B60:AD60">B54-B55-B57-B59-B56-B58</f>
        <v>1062.2</v>
      </c>
      <c r="C60" s="98">
        <v>318.4000000000004</v>
      </c>
      <c r="D60" s="99">
        <f t="shared" si="12"/>
        <v>0</v>
      </c>
      <c r="E60" s="99">
        <f t="shared" si="12"/>
        <v>0</v>
      </c>
      <c r="F60" s="99">
        <f t="shared" si="12"/>
        <v>0</v>
      </c>
      <c r="G60" s="99">
        <f t="shared" si="12"/>
        <v>111.5</v>
      </c>
      <c r="H60" s="99">
        <f t="shared" si="12"/>
        <v>0</v>
      </c>
      <c r="I60" s="99">
        <f t="shared" si="12"/>
        <v>0</v>
      </c>
      <c r="J60" s="99">
        <f t="shared" si="12"/>
        <v>189.8</v>
      </c>
      <c r="K60" s="99">
        <f t="shared" si="12"/>
        <v>1.9</v>
      </c>
      <c r="L60" s="99">
        <f t="shared" si="12"/>
        <v>98.39999999999998</v>
      </c>
      <c r="M60" s="99">
        <f t="shared" si="12"/>
        <v>343.2</v>
      </c>
      <c r="N60" s="99">
        <f t="shared" si="12"/>
        <v>0</v>
      </c>
      <c r="O60" s="99">
        <f t="shared" si="12"/>
        <v>137</v>
      </c>
      <c r="P60" s="99">
        <f t="shared" si="12"/>
        <v>0</v>
      </c>
      <c r="Q60" s="99">
        <f t="shared" si="12"/>
        <v>2.4</v>
      </c>
      <c r="R60" s="99">
        <f t="shared" si="12"/>
        <v>20.1</v>
      </c>
      <c r="S60" s="99">
        <f t="shared" si="12"/>
        <v>6.9</v>
      </c>
      <c r="T60" s="99">
        <f t="shared" si="12"/>
        <v>0</v>
      </c>
      <c r="U60" s="99">
        <f t="shared" si="12"/>
        <v>0</v>
      </c>
      <c r="V60" s="99">
        <f t="shared" si="12"/>
        <v>38.10000000000002</v>
      </c>
      <c r="W60" s="99">
        <f t="shared" si="12"/>
        <v>232.70000000000002</v>
      </c>
      <c r="X60" s="99">
        <f t="shared" si="12"/>
        <v>0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/>
      <c r="AF60" s="99">
        <f>AF54-AF55-AF57-AF59-AF56-AF58</f>
        <v>1182.000000000001</v>
      </c>
      <c r="AG60" s="99">
        <f>AG54-AG55-AG57-AG59-AG56-AG58</f>
        <v>198.5999999999994</v>
      </c>
      <c r="AI60" s="102"/>
    </row>
    <row r="61" spans="1:35" s="101" customFormat="1" ht="15" customHeight="1">
      <c r="A61" s="97" t="s">
        <v>10</v>
      </c>
      <c r="B61" s="98">
        <f>92+25</f>
        <v>117</v>
      </c>
      <c r="C61" s="98">
        <v>14.400000000000006</v>
      </c>
      <c r="D61" s="99"/>
      <c r="E61" s="99"/>
      <c r="F61" s="99"/>
      <c r="G61" s="99"/>
      <c r="H61" s="99">
        <v>25.1</v>
      </c>
      <c r="I61" s="99"/>
      <c r="J61" s="99"/>
      <c r="K61" s="99"/>
      <c r="L61" s="99">
        <v>13.5</v>
      </c>
      <c r="M61" s="99"/>
      <c r="N61" s="99"/>
      <c r="O61" s="99"/>
      <c r="P61" s="99"/>
      <c r="Q61" s="99">
        <v>2.2</v>
      </c>
      <c r="R61" s="99"/>
      <c r="S61" s="99">
        <v>2</v>
      </c>
      <c r="T61" s="99">
        <v>16.6</v>
      </c>
      <c r="U61" s="99">
        <v>22.9</v>
      </c>
      <c r="V61" s="99">
        <v>12</v>
      </c>
      <c r="W61" s="99"/>
      <c r="X61" s="99"/>
      <c r="Y61" s="99"/>
      <c r="Z61" s="99"/>
      <c r="AA61" s="99"/>
      <c r="AB61" s="99"/>
      <c r="AC61" s="99"/>
      <c r="AD61" s="99"/>
      <c r="AE61" s="99"/>
      <c r="AF61" s="99">
        <f aca="true" t="shared" si="13" ref="AF61:AF92">SUM(D61:AD61)</f>
        <v>94.30000000000001</v>
      </c>
      <c r="AG61" s="99">
        <f aca="true" t="shared" si="14" ref="AG61:AG67">B61+C61-AF61</f>
        <v>37.099999999999994</v>
      </c>
      <c r="AI61" s="102"/>
    </row>
    <row r="62" spans="1:35" s="101" customFormat="1" ht="15" customHeight="1">
      <c r="A62" s="97" t="s">
        <v>11</v>
      </c>
      <c r="B62" s="98">
        <v>5551.1</v>
      </c>
      <c r="C62" s="98">
        <v>2119.7999999999997</v>
      </c>
      <c r="D62" s="99"/>
      <c r="E62" s="99"/>
      <c r="F62" s="99"/>
      <c r="G62" s="99">
        <v>70.2</v>
      </c>
      <c r="H62" s="99">
        <v>233.5</v>
      </c>
      <c r="I62" s="99"/>
      <c r="J62" s="99"/>
      <c r="K62" s="99">
        <v>966</v>
      </c>
      <c r="L62" s="99">
        <v>52.6</v>
      </c>
      <c r="M62" s="99">
        <v>123</v>
      </c>
      <c r="N62" s="99">
        <v>9.9</v>
      </c>
      <c r="O62" s="99"/>
      <c r="P62" s="99"/>
      <c r="Q62" s="99">
        <v>532.3</v>
      </c>
      <c r="R62" s="99">
        <v>8.3</v>
      </c>
      <c r="S62" s="99"/>
      <c r="T62" s="99">
        <v>75.6</v>
      </c>
      <c r="U62" s="99">
        <v>313.4</v>
      </c>
      <c r="V62" s="99">
        <v>1771.2</v>
      </c>
      <c r="W62" s="99">
        <v>5.9</v>
      </c>
      <c r="X62" s="99"/>
      <c r="Y62" s="99"/>
      <c r="Z62" s="99"/>
      <c r="AA62" s="99"/>
      <c r="AB62" s="99"/>
      <c r="AC62" s="99"/>
      <c r="AD62" s="99"/>
      <c r="AE62" s="99"/>
      <c r="AF62" s="99">
        <f t="shared" si="13"/>
        <v>4161.9</v>
      </c>
      <c r="AG62" s="99">
        <f t="shared" si="14"/>
        <v>3509</v>
      </c>
      <c r="AI62" s="102"/>
    </row>
    <row r="63" spans="1:35" s="101" customFormat="1" ht="15.75">
      <c r="A63" s="103" t="s">
        <v>5</v>
      </c>
      <c r="B63" s="98">
        <v>2447.4</v>
      </c>
      <c r="C63" s="98">
        <v>336.7000000000003</v>
      </c>
      <c r="D63" s="99"/>
      <c r="E63" s="99"/>
      <c r="F63" s="99"/>
      <c r="G63" s="99"/>
      <c r="H63" s="99"/>
      <c r="I63" s="99"/>
      <c r="J63" s="99"/>
      <c r="K63" s="99">
        <v>792.3</v>
      </c>
      <c r="L63" s="99"/>
      <c r="M63" s="99"/>
      <c r="N63" s="99">
        <v>9.9</v>
      </c>
      <c r="O63" s="99"/>
      <c r="P63" s="99"/>
      <c r="Q63" s="99"/>
      <c r="R63" s="99"/>
      <c r="S63" s="99"/>
      <c r="T63" s="99"/>
      <c r="U63" s="99">
        <v>66.7</v>
      </c>
      <c r="V63" s="99">
        <v>1210.9</v>
      </c>
      <c r="W63" s="99"/>
      <c r="X63" s="99"/>
      <c r="Y63" s="99"/>
      <c r="Z63" s="99"/>
      <c r="AA63" s="99"/>
      <c r="AB63" s="99"/>
      <c r="AC63" s="99"/>
      <c r="AD63" s="99"/>
      <c r="AE63" s="99"/>
      <c r="AF63" s="99">
        <f t="shared" si="13"/>
        <v>2079.8</v>
      </c>
      <c r="AG63" s="99">
        <f t="shared" si="14"/>
        <v>704.3000000000002</v>
      </c>
      <c r="AH63" s="123"/>
      <c r="AI63" s="102"/>
    </row>
    <row r="64" spans="1:35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>
        <f t="shared" si="13"/>
        <v>0</v>
      </c>
      <c r="AG64" s="99">
        <f t="shared" si="14"/>
        <v>0</v>
      </c>
      <c r="AH64" s="102"/>
      <c r="AI64" s="102"/>
    </row>
    <row r="65" spans="1:35" s="101" customFormat="1" ht="15.75">
      <c r="A65" s="103" t="s">
        <v>1</v>
      </c>
      <c r="B65" s="98">
        <v>535.2</v>
      </c>
      <c r="C65" s="98">
        <v>329.5</v>
      </c>
      <c r="D65" s="99"/>
      <c r="E65" s="99"/>
      <c r="F65" s="99"/>
      <c r="G65" s="99">
        <v>6.6</v>
      </c>
      <c r="H65" s="99"/>
      <c r="I65" s="99"/>
      <c r="J65" s="99"/>
      <c r="K65" s="99">
        <v>70.1</v>
      </c>
      <c r="L65" s="99"/>
      <c r="M65" s="99"/>
      <c r="N65" s="99"/>
      <c r="O65" s="99"/>
      <c r="P65" s="99"/>
      <c r="Q65" s="99">
        <v>102.1</v>
      </c>
      <c r="R65" s="99">
        <v>3.2</v>
      </c>
      <c r="S65" s="99"/>
      <c r="T65" s="99"/>
      <c r="U65" s="99"/>
      <c r="V65" s="99">
        <v>185.8</v>
      </c>
      <c r="W65" s="99"/>
      <c r="X65" s="99"/>
      <c r="Y65" s="99"/>
      <c r="Z65" s="99"/>
      <c r="AA65" s="99"/>
      <c r="AB65" s="99"/>
      <c r="AC65" s="99"/>
      <c r="AD65" s="99"/>
      <c r="AE65" s="99"/>
      <c r="AF65" s="99">
        <f t="shared" si="13"/>
        <v>367.79999999999995</v>
      </c>
      <c r="AG65" s="99">
        <f t="shared" si="14"/>
        <v>496.9000000000001</v>
      </c>
      <c r="AH65" s="102"/>
      <c r="AI65" s="102"/>
    </row>
    <row r="66" spans="1:35" s="101" customFormat="1" ht="15.75">
      <c r="A66" s="103" t="s">
        <v>2</v>
      </c>
      <c r="B66" s="98">
        <v>211.3</v>
      </c>
      <c r="C66" s="98">
        <v>217.29999999999998</v>
      </c>
      <c r="D66" s="99"/>
      <c r="E66" s="99"/>
      <c r="F66" s="99"/>
      <c r="G66" s="99">
        <v>2.4</v>
      </c>
      <c r="H66" s="99"/>
      <c r="I66" s="99"/>
      <c r="J66" s="99"/>
      <c r="K66" s="99">
        <v>14.5</v>
      </c>
      <c r="L66" s="99"/>
      <c r="M66" s="99"/>
      <c r="N66" s="99"/>
      <c r="O66" s="99"/>
      <c r="P66" s="99"/>
      <c r="Q66" s="99">
        <v>23</v>
      </c>
      <c r="R66" s="99"/>
      <c r="S66" s="99"/>
      <c r="T66" s="99"/>
      <c r="U66" s="99"/>
      <c r="V66" s="99">
        <v>268</v>
      </c>
      <c r="W66" s="99">
        <v>5.9</v>
      </c>
      <c r="X66" s="99"/>
      <c r="Y66" s="99"/>
      <c r="Z66" s="99"/>
      <c r="AA66" s="99"/>
      <c r="AB66" s="99"/>
      <c r="AC66" s="99"/>
      <c r="AD66" s="99"/>
      <c r="AE66" s="99"/>
      <c r="AF66" s="99">
        <f t="shared" si="13"/>
        <v>313.79999999999995</v>
      </c>
      <c r="AG66" s="99">
        <f t="shared" si="14"/>
        <v>114.80000000000007</v>
      </c>
      <c r="AI66" s="102"/>
    </row>
    <row r="67" spans="1:35" s="101" customFormat="1" ht="15.75">
      <c r="A67" s="103" t="s">
        <v>16</v>
      </c>
      <c r="B67" s="98">
        <v>326</v>
      </c>
      <c r="C67" s="98">
        <v>353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>
        <v>242</v>
      </c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>
        <f t="shared" si="13"/>
        <v>242</v>
      </c>
      <c r="AG67" s="99">
        <f t="shared" si="14"/>
        <v>437</v>
      </c>
      <c r="AI67" s="102"/>
    </row>
    <row r="68" spans="1:35" s="101" customFormat="1" ht="15.75">
      <c r="A68" s="103" t="s">
        <v>23</v>
      </c>
      <c r="B68" s="98">
        <f aca="true" t="shared" si="15" ref="B68:AD68">B62-B63-B66-B67-B65-B64</f>
        <v>2031.2</v>
      </c>
      <c r="C68" s="98">
        <v>883.2999999999995</v>
      </c>
      <c r="D68" s="99">
        <f t="shared" si="15"/>
        <v>0</v>
      </c>
      <c r="E68" s="99">
        <f t="shared" si="15"/>
        <v>0</v>
      </c>
      <c r="F68" s="99">
        <f t="shared" si="15"/>
        <v>0</v>
      </c>
      <c r="G68" s="99">
        <f t="shared" si="15"/>
        <v>61.199999999999996</v>
      </c>
      <c r="H68" s="99">
        <f t="shared" si="15"/>
        <v>233.5</v>
      </c>
      <c r="I68" s="99">
        <f t="shared" si="15"/>
        <v>0</v>
      </c>
      <c r="J68" s="99">
        <f t="shared" si="15"/>
        <v>0</v>
      </c>
      <c r="K68" s="99">
        <f t="shared" si="15"/>
        <v>89.10000000000005</v>
      </c>
      <c r="L68" s="99">
        <f t="shared" si="15"/>
        <v>52.6</v>
      </c>
      <c r="M68" s="99">
        <f t="shared" si="15"/>
        <v>123</v>
      </c>
      <c r="N68" s="99">
        <f t="shared" si="15"/>
        <v>0</v>
      </c>
      <c r="O68" s="99">
        <f t="shared" si="15"/>
        <v>0</v>
      </c>
      <c r="P68" s="99">
        <f t="shared" si="15"/>
        <v>0</v>
      </c>
      <c r="Q68" s="99">
        <f t="shared" si="15"/>
        <v>165.19999999999996</v>
      </c>
      <c r="R68" s="99">
        <f t="shared" si="15"/>
        <v>5.1000000000000005</v>
      </c>
      <c r="S68" s="99">
        <f t="shared" si="15"/>
        <v>0</v>
      </c>
      <c r="T68" s="99">
        <f t="shared" si="15"/>
        <v>75.6</v>
      </c>
      <c r="U68" s="99">
        <f t="shared" si="15"/>
        <v>246.7</v>
      </c>
      <c r="V68" s="99">
        <f t="shared" si="15"/>
        <v>106.49999999999994</v>
      </c>
      <c r="W68" s="99">
        <f t="shared" si="15"/>
        <v>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/>
      <c r="AF68" s="99">
        <f t="shared" si="13"/>
        <v>1158.5</v>
      </c>
      <c r="AG68" s="99">
        <f>AG62-AG63-AG66-AG67-AG65-AG64</f>
        <v>1755.9999999999995</v>
      </c>
      <c r="AI68" s="102"/>
    </row>
    <row r="69" spans="1:35" s="101" customFormat="1" ht="31.5">
      <c r="A69" s="97" t="s">
        <v>45</v>
      </c>
      <c r="B69" s="98">
        <f>2033.6+50</f>
        <v>2083.6</v>
      </c>
      <c r="C69" s="98">
        <v>18.300000000000182</v>
      </c>
      <c r="D69" s="99"/>
      <c r="E69" s="99"/>
      <c r="F69" s="99"/>
      <c r="G69" s="99"/>
      <c r="H69" s="99"/>
      <c r="I69" s="99"/>
      <c r="J69" s="99"/>
      <c r="K69" s="99"/>
      <c r="L69" s="99"/>
      <c r="M69" s="99">
        <v>879.7</v>
      </c>
      <c r="N69" s="99"/>
      <c r="O69" s="99"/>
      <c r="P69" s="99">
        <v>893</v>
      </c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>
        <f t="shared" si="13"/>
        <v>1772.7</v>
      </c>
      <c r="AG69" s="117">
        <f aca="true" t="shared" si="16" ref="AG69:AG92">B69+C69-AF69</f>
        <v>329.20000000000005</v>
      </c>
      <c r="AI69" s="102"/>
    </row>
    <row r="70" spans="1:35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>
        <f t="shared" si="13"/>
        <v>0</v>
      </c>
      <c r="AG70" s="117">
        <f t="shared" si="16"/>
        <v>0</v>
      </c>
      <c r="AI70" s="102"/>
    </row>
    <row r="71" spans="1:50" s="101" customFormat="1" ht="31.5">
      <c r="A71" s="97" t="s">
        <v>46</v>
      </c>
      <c r="B71" s="98">
        <f>1303+42.6</f>
        <v>1345.6</v>
      </c>
      <c r="C71" s="118">
        <v>1399.4</v>
      </c>
      <c r="D71" s="113"/>
      <c r="E71" s="113">
        <v>469.6</v>
      </c>
      <c r="F71" s="113"/>
      <c r="G71" s="113"/>
      <c r="H71" s="113">
        <v>898.6</v>
      </c>
      <c r="I71" s="113"/>
      <c r="J71" s="113"/>
      <c r="K71" s="113"/>
      <c r="L71" s="113"/>
      <c r="M71" s="113">
        <v>871.8</v>
      </c>
      <c r="N71" s="113"/>
      <c r="O71" s="113"/>
      <c r="P71" s="113"/>
      <c r="Q71" s="113"/>
      <c r="R71" s="113">
        <v>55</v>
      </c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99">
        <f t="shared" si="13"/>
        <v>2295</v>
      </c>
      <c r="AG71" s="117">
        <f t="shared" si="16"/>
        <v>450</v>
      </c>
      <c r="AH71" s="119"/>
      <c r="AI71" s="102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</row>
    <row r="72" spans="1:35" s="101" customFormat="1" ht="15" customHeight="1">
      <c r="A72" s="97" t="s">
        <v>47</v>
      </c>
      <c r="B72" s="112">
        <f>1968.1+10-65.8</f>
        <v>1912.3</v>
      </c>
      <c r="C72" s="98">
        <v>1395.4999999999998</v>
      </c>
      <c r="D72" s="99"/>
      <c r="E72" s="99">
        <v>53.3</v>
      </c>
      <c r="F72" s="99">
        <v>109</v>
      </c>
      <c r="G72" s="99">
        <v>1.4</v>
      </c>
      <c r="H72" s="99">
        <f>1024.1-879.7</f>
        <v>144.39999999999986</v>
      </c>
      <c r="I72" s="99"/>
      <c r="J72" s="99">
        <v>19.8</v>
      </c>
      <c r="K72" s="99">
        <v>10</v>
      </c>
      <c r="L72" s="99">
        <v>115.6</v>
      </c>
      <c r="M72" s="99">
        <v>53.3</v>
      </c>
      <c r="N72" s="99">
        <v>13.7</v>
      </c>
      <c r="O72" s="99">
        <v>22.1</v>
      </c>
      <c r="P72" s="99">
        <v>4.9</v>
      </c>
      <c r="Q72" s="99"/>
      <c r="R72" s="99">
        <v>9</v>
      </c>
      <c r="S72" s="99">
        <v>3.6</v>
      </c>
      <c r="T72" s="99">
        <v>409.7</v>
      </c>
      <c r="U72" s="99">
        <f>170.4-140.9</f>
        <v>29.5</v>
      </c>
      <c r="V72" s="99">
        <v>95.2</v>
      </c>
      <c r="W72" s="99"/>
      <c r="X72" s="99"/>
      <c r="Y72" s="99"/>
      <c r="Z72" s="99"/>
      <c r="AA72" s="99"/>
      <c r="AB72" s="99"/>
      <c r="AC72" s="99"/>
      <c r="AD72" s="99"/>
      <c r="AE72" s="99"/>
      <c r="AF72" s="99">
        <f t="shared" si="13"/>
        <v>1094.5</v>
      </c>
      <c r="AG72" s="117">
        <f t="shared" si="16"/>
        <v>2213.2999999999997</v>
      </c>
      <c r="AI72" s="102"/>
    </row>
    <row r="73" spans="1:35" s="101" customFormat="1" ht="15" customHeight="1">
      <c r="A73" s="103" t="s">
        <v>5</v>
      </c>
      <c r="B73" s="98">
        <v>80.5</v>
      </c>
      <c r="C73" s="98">
        <v>0.09999999999999432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>
        <v>80.5</v>
      </c>
      <c r="W73" s="99"/>
      <c r="X73" s="99"/>
      <c r="Y73" s="99"/>
      <c r="Z73" s="99"/>
      <c r="AA73" s="99"/>
      <c r="AB73" s="99"/>
      <c r="AC73" s="99"/>
      <c r="AD73" s="99"/>
      <c r="AE73" s="99"/>
      <c r="AF73" s="99">
        <f t="shared" si="13"/>
        <v>80.5</v>
      </c>
      <c r="AG73" s="117">
        <f t="shared" si="16"/>
        <v>0.09999999999999432</v>
      </c>
      <c r="AI73" s="102"/>
    </row>
    <row r="74" spans="1:35" s="101" customFormat="1" ht="15" customHeight="1">
      <c r="A74" s="103" t="s">
        <v>2</v>
      </c>
      <c r="B74" s="98">
        <f>323.4+55</f>
        <v>378.4</v>
      </c>
      <c r="C74" s="98">
        <v>191.0999999999999</v>
      </c>
      <c r="D74" s="99"/>
      <c r="E74" s="99">
        <v>53.3</v>
      </c>
      <c r="F74" s="99">
        <v>1.8</v>
      </c>
      <c r="G74" s="99">
        <v>1.1</v>
      </c>
      <c r="H74" s="99">
        <v>124.9</v>
      </c>
      <c r="I74" s="99"/>
      <c r="J74" s="99"/>
      <c r="K74" s="99"/>
      <c r="L74" s="99">
        <f>24.9+29.8</f>
        <v>54.7</v>
      </c>
      <c r="M74" s="99"/>
      <c r="N74" s="99"/>
      <c r="O74" s="99">
        <v>0.5</v>
      </c>
      <c r="P74" s="99">
        <v>0.6</v>
      </c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>
        <f t="shared" si="13"/>
        <v>236.9</v>
      </c>
      <c r="AG74" s="117">
        <f t="shared" si="16"/>
        <v>332.5999999999999</v>
      </c>
      <c r="AI74" s="102"/>
    </row>
    <row r="75" spans="1:35" s="101" customFormat="1" ht="15" customHeight="1">
      <c r="A75" s="103" t="s">
        <v>16</v>
      </c>
      <c r="B75" s="98">
        <f>10+11.6</f>
        <v>21.6</v>
      </c>
      <c r="C75" s="98">
        <v>3.8999999999999986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>
        <v>7.7</v>
      </c>
      <c r="W75" s="99"/>
      <c r="X75" s="99"/>
      <c r="Y75" s="99"/>
      <c r="Z75" s="99"/>
      <c r="AA75" s="99"/>
      <c r="AB75" s="99"/>
      <c r="AC75" s="99"/>
      <c r="AD75" s="99"/>
      <c r="AE75" s="99"/>
      <c r="AF75" s="99">
        <f t="shared" si="13"/>
        <v>7.7</v>
      </c>
      <c r="AG75" s="117">
        <f t="shared" si="16"/>
        <v>17.8</v>
      </c>
      <c r="AI75" s="102"/>
    </row>
    <row r="76" spans="1:35" s="121" customFormat="1" ht="15.75">
      <c r="A76" s="120" t="s">
        <v>48</v>
      </c>
      <c r="B76" s="98">
        <v>198.7</v>
      </c>
      <c r="C76" s="98">
        <v>49.20000000000002</v>
      </c>
      <c r="D76" s="99"/>
      <c r="E76" s="113"/>
      <c r="F76" s="113"/>
      <c r="G76" s="113"/>
      <c r="H76" s="113"/>
      <c r="I76" s="113"/>
      <c r="J76" s="113"/>
      <c r="K76" s="113">
        <v>76.4</v>
      </c>
      <c r="L76" s="113"/>
      <c r="M76" s="113"/>
      <c r="N76" s="113"/>
      <c r="O76" s="113"/>
      <c r="P76" s="113"/>
      <c r="Q76" s="113"/>
      <c r="R76" s="113"/>
      <c r="S76" s="113"/>
      <c r="T76" s="113"/>
      <c r="U76" s="113">
        <v>140.9</v>
      </c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99">
        <f t="shared" si="13"/>
        <v>217.3</v>
      </c>
      <c r="AG76" s="117">
        <f t="shared" si="16"/>
        <v>30.599999999999994</v>
      </c>
      <c r="AI76" s="102"/>
    </row>
    <row r="77" spans="1:35" s="121" customFormat="1" ht="15.75">
      <c r="A77" s="103" t="s">
        <v>5</v>
      </c>
      <c r="B77" s="98">
        <v>136.2</v>
      </c>
      <c r="C77" s="98">
        <v>8.800000000000011</v>
      </c>
      <c r="D77" s="99"/>
      <c r="E77" s="113"/>
      <c r="F77" s="113"/>
      <c r="G77" s="113"/>
      <c r="H77" s="113"/>
      <c r="I77" s="113"/>
      <c r="J77" s="113"/>
      <c r="K77" s="113">
        <v>59</v>
      </c>
      <c r="L77" s="113"/>
      <c r="M77" s="113"/>
      <c r="N77" s="113"/>
      <c r="O77" s="113"/>
      <c r="P77" s="113"/>
      <c r="Q77" s="113"/>
      <c r="R77" s="113"/>
      <c r="S77" s="113"/>
      <c r="T77" s="113"/>
      <c r="U77" s="113">
        <v>82.2</v>
      </c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99">
        <f t="shared" si="13"/>
        <v>141.2</v>
      </c>
      <c r="AG77" s="117">
        <f t="shared" si="16"/>
        <v>3.8000000000000114</v>
      </c>
      <c r="AI77" s="102"/>
    </row>
    <row r="78" spans="1:35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99">
        <f t="shared" si="13"/>
        <v>0</v>
      </c>
      <c r="AG78" s="117">
        <f t="shared" si="16"/>
        <v>0</v>
      </c>
      <c r="AI78" s="102"/>
    </row>
    <row r="79" spans="1:35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99">
        <f t="shared" si="13"/>
        <v>0</v>
      </c>
      <c r="AG79" s="117">
        <f t="shared" si="16"/>
        <v>0</v>
      </c>
      <c r="AI79" s="102"/>
    </row>
    <row r="80" spans="1:35" s="121" customFormat="1" ht="15.75">
      <c r="A80" s="103" t="s">
        <v>2</v>
      </c>
      <c r="B80" s="98">
        <v>7.5</v>
      </c>
      <c r="C80" s="98">
        <v>8.400000000000002</v>
      </c>
      <c r="D80" s="99"/>
      <c r="E80" s="113"/>
      <c r="F80" s="113"/>
      <c r="G80" s="113"/>
      <c r="H80" s="113"/>
      <c r="I80" s="113"/>
      <c r="J80" s="113"/>
      <c r="K80" s="113">
        <v>7.4</v>
      </c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99">
        <f t="shared" si="13"/>
        <v>7.4</v>
      </c>
      <c r="AG80" s="117">
        <f t="shared" si="16"/>
        <v>8.500000000000002</v>
      </c>
      <c r="AI80" s="102"/>
    </row>
    <row r="81" spans="1:35" s="121" customFormat="1" ht="15.75">
      <c r="A81" s="120" t="s">
        <v>49</v>
      </c>
      <c r="B81" s="98">
        <v>29.5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>
        <v>29.5</v>
      </c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99">
        <f t="shared" si="13"/>
        <v>29.5</v>
      </c>
      <c r="AG81" s="117">
        <f t="shared" si="16"/>
        <v>0</v>
      </c>
      <c r="AI81" s="102"/>
    </row>
    <row r="82" spans="1:35" s="121" customFormat="1" ht="15.75" hidden="1">
      <c r="A82" s="120" t="s">
        <v>41</v>
      </c>
      <c r="B82" s="98"/>
      <c r="C82" s="118">
        <v>0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99">
        <f t="shared" si="13"/>
        <v>0</v>
      </c>
      <c r="AG82" s="117">
        <f t="shared" si="16"/>
        <v>0</v>
      </c>
      <c r="AI82" s="102"/>
    </row>
    <row r="83" spans="1:35" s="121" customFormat="1" ht="15.75" hidden="1">
      <c r="A83" s="120" t="s">
        <v>40</v>
      </c>
      <c r="B83" s="118"/>
      <c r="C83" s="118">
        <v>0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99">
        <f t="shared" si="13"/>
        <v>0</v>
      </c>
      <c r="AG83" s="99">
        <f t="shared" si="16"/>
        <v>0</v>
      </c>
      <c r="AI83" s="102"/>
    </row>
    <row r="84" spans="1:35" s="121" customFormat="1" ht="15.75" hidden="1">
      <c r="A84" s="122" t="s">
        <v>21</v>
      </c>
      <c r="B84" s="98"/>
      <c r="C84" s="118">
        <v>0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99">
        <f t="shared" si="13"/>
        <v>0</v>
      </c>
      <c r="AG84" s="99">
        <f t="shared" si="16"/>
        <v>0</v>
      </c>
      <c r="AI84" s="102"/>
    </row>
    <row r="85" spans="1:35" s="121" customFormat="1" ht="15.75" hidden="1">
      <c r="A85" s="122" t="s">
        <v>22</v>
      </c>
      <c r="B85" s="98"/>
      <c r="C85" s="118">
        <v>0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99">
        <f t="shared" si="13"/>
        <v>0</v>
      </c>
      <c r="AG85" s="99">
        <f t="shared" si="16"/>
        <v>0</v>
      </c>
      <c r="AI85" s="102"/>
    </row>
    <row r="86" spans="1:35" s="121" customFormat="1" ht="31.5" hidden="1">
      <c r="A86" s="122" t="s">
        <v>24</v>
      </c>
      <c r="B86" s="98"/>
      <c r="C86" s="118">
        <v>0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99">
        <f t="shared" si="13"/>
        <v>0</v>
      </c>
      <c r="AG86" s="99">
        <f t="shared" si="16"/>
        <v>0</v>
      </c>
      <c r="AI86" s="102"/>
    </row>
    <row r="87" spans="1:35" s="121" customFormat="1" ht="31.5" hidden="1">
      <c r="A87" s="122" t="s">
        <v>28</v>
      </c>
      <c r="B87" s="98"/>
      <c r="C87" s="118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99">
        <f t="shared" si="13"/>
        <v>0</v>
      </c>
      <c r="AG87" s="99">
        <f t="shared" si="16"/>
        <v>0</v>
      </c>
      <c r="AI87" s="102"/>
    </row>
    <row r="88" spans="1:35" s="101" customFormat="1" ht="15.75" hidden="1">
      <c r="A88" s="97" t="s">
        <v>44</v>
      </c>
      <c r="B88" s="98"/>
      <c r="C88" s="98">
        <v>0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>
        <f t="shared" si="13"/>
        <v>0</v>
      </c>
      <c r="AG88" s="99">
        <f t="shared" si="16"/>
        <v>0</v>
      </c>
      <c r="AH88" s="121"/>
      <c r="AI88" s="102"/>
    </row>
    <row r="89" spans="1:35" s="101" customFormat="1" ht="15.75">
      <c r="A89" s="97" t="s">
        <v>50</v>
      </c>
      <c r="B89" s="98">
        <v>7924.8</v>
      </c>
      <c r="C89" s="98">
        <v>2149.6000000000004</v>
      </c>
      <c r="D89" s="99"/>
      <c r="E89" s="99"/>
      <c r="F89" s="99"/>
      <c r="G89" s="99">
        <v>1136.8</v>
      </c>
      <c r="H89" s="99">
        <v>45.8</v>
      </c>
      <c r="I89" s="99"/>
      <c r="J89" s="99"/>
      <c r="K89" s="99"/>
      <c r="L89" s="99">
        <v>142.4</v>
      </c>
      <c r="M89" s="99"/>
      <c r="N89" s="99"/>
      <c r="O89" s="99"/>
      <c r="P89" s="99"/>
      <c r="Q89" s="99">
        <v>633.4</v>
      </c>
      <c r="R89" s="99"/>
      <c r="S89" s="99">
        <v>904.4</v>
      </c>
      <c r="T89" s="99"/>
      <c r="U89" s="99">
        <v>5049.6</v>
      </c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>
        <f t="shared" si="13"/>
        <v>7912.400000000001</v>
      </c>
      <c r="AG89" s="99">
        <f t="shared" si="16"/>
        <v>2162.000000000001</v>
      </c>
      <c r="AH89" s="121"/>
      <c r="AI89" s="102"/>
    </row>
    <row r="90" spans="1:35" s="101" customFormat="1" ht="15.75">
      <c r="A90" s="97" t="s">
        <v>51</v>
      </c>
      <c r="B90" s="98">
        <v>5660.4</v>
      </c>
      <c r="C90" s="98">
        <v>0</v>
      </c>
      <c r="D90" s="99"/>
      <c r="E90" s="99"/>
      <c r="F90" s="99"/>
      <c r="G90" s="99"/>
      <c r="H90" s="99">
        <v>1886.8</v>
      </c>
      <c r="I90" s="99"/>
      <c r="J90" s="99"/>
      <c r="K90" s="99"/>
      <c r="L90" s="99"/>
      <c r="M90" s="99"/>
      <c r="N90" s="99"/>
      <c r="O90" s="99"/>
      <c r="P90" s="99"/>
      <c r="Q90" s="99">
        <v>1886.8</v>
      </c>
      <c r="R90" s="99"/>
      <c r="S90" s="99"/>
      <c r="T90" s="99"/>
      <c r="U90" s="99"/>
      <c r="V90" s="99"/>
      <c r="W90" s="99"/>
      <c r="X90" s="99">
        <v>1886.8</v>
      </c>
      <c r="Y90" s="99"/>
      <c r="Z90" s="99"/>
      <c r="AA90" s="99"/>
      <c r="AB90" s="99"/>
      <c r="AC90" s="99"/>
      <c r="AD90" s="99"/>
      <c r="AE90" s="99"/>
      <c r="AF90" s="99">
        <f t="shared" si="13"/>
        <v>5660.4</v>
      </c>
      <c r="AG90" s="99">
        <f t="shared" si="16"/>
        <v>0</v>
      </c>
      <c r="AH90" s="121"/>
      <c r="AI90" s="102"/>
    </row>
    <row r="91" spans="1:35" s="101" customFormat="1" ht="15.75">
      <c r="A91" s="97" t="s">
        <v>25</v>
      </c>
      <c r="B91" s="98">
        <v>833.3</v>
      </c>
      <c r="C91" s="98">
        <v>1666.6999999999998</v>
      </c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>
        <f t="shared" si="13"/>
        <v>0</v>
      </c>
      <c r="AG91" s="99">
        <f t="shared" si="16"/>
        <v>2500</v>
      </c>
      <c r="AH91" s="121"/>
      <c r="AI91" s="102"/>
    </row>
    <row r="92" spans="1:34" s="101" customFormat="1" ht="15.75">
      <c r="A92" s="97" t="s">
        <v>37</v>
      </c>
      <c r="B92" s="98">
        <v>22098</v>
      </c>
      <c r="C92" s="98">
        <f>18420.7+1.8</f>
        <v>18422.5</v>
      </c>
      <c r="D92" s="99"/>
      <c r="E92" s="99">
        <v>20631.5</v>
      </c>
      <c r="F92" s="99">
        <v>2864.5</v>
      </c>
      <c r="G92" s="99">
        <v>2072.8</v>
      </c>
      <c r="H92" s="99"/>
      <c r="I92" s="99"/>
      <c r="J92" s="99">
        <v>10611.8</v>
      </c>
      <c r="K92" s="99">
        <v>26.4</v>
      </c>
      <c r="L92" s="99">
        <v>-6447.8</v>
      </c>
      <c r="M92" s="99">
        <v>-3782.8</v>
      </c>
      <c r="N92" s="99">
        <v>-4677.3</v>
      </c>
      <c r="O92" s="99">
        <v>4676.1</v>
      </c>
      <c r="P92" s="99"/>
      <c r="Q92" s="99">
        <v>-2746.7</v>
      </c>
      <c r="R92" s="99"/>
      <c r="S92" s="99">
        <v>-2356.3</v>
      </c>
      <c r="T92" s="99"/>
      <c r="U92" s="99"/>
      <c r="V92" s="99">
        <v>-5820.8</v>
      </c>
      <c r="W92" s="99">
        <v>6091.9</v>
      </c>
      <c r="X92" s="99">
        <v>14434.9</v>
      </c>
      <c r="Y92" s="99"/>
      <c r="Z92" s="99"/>
      <c r="AA92" s="99"/>
      <c r="AB92" s="99"/>
      <c r="AC92" s="99"/>
      <c r="AD92" s="99"/>
      <c r="AE92" s="99"/>
      <c r="AF92" s="99">
        <f t="shared" si="13"/>
        <v>35578.200000000004</v>
      </c>
      <c r="AG92" s="99">
        <f t="shared" si="16"/>
        <v>4942.299999999996</v>
      </c>
      <c r="AH92" s="124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47" sqref="AG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</row>
    <row r="2" spans="1:33" ht="22.5" customHeight="1">
      <c r="A2" s="126" t="s">
        <v>59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01" customFormat="1" ht="15" customHeight="1">
      <c r="A15" s="97" t="s">
        <v>6</v>
      </c>
      <c r="B15" s="98">
        <f>78673.8+7.6</f>
        <v>78681.40000000001</v>
      </c>
      <c r="C15" s="98">
        <v>29287.300000000003</v>
      </c>
      <c r="D15" s="105"/>
      <c r="E15" s="105">
        <v>629.5</v>
      </c>
      <c r="F15" s="99">
        <v>733.5</v>
      </c>
      <c r="G15" s="99">
        <v>255.6</v>
      </c>
      <c r="H15" s="99">
        <v>2756.8</v>
      </c>
      <c r="I15" s="99"/>
      <c r="J15" s="99">
        <f>628.6+8.7</f>
        <v>637.3000000000001</v>
      </c>
      <c r="K15" s="99">
        <v>2675.8</v>
      </c>
      <c r="L15" s="99">
        <v>1146.4</v>
      </c>
      <c r="M15" s="99">
        <f>15913.4+10597.9</f>
        <v>26511.3</v>
      </c>
      <c r="N15" s="99">
        <v>989.9</v>
      </c>
      <c r="O15" s="99">
        <v>15.5</v>
      </c>
      <c r="P15" s="99">
        <v>1558</v>
      </c>
      <c r="Q15" s="99">
        <v>1305.3</v>
      </c>
      <c r="R15" s="99">
        <v>494.8</v>
      </c>
      <c r="S15" s="99">
        <v>1064.4</v>
      </c>
      <c r="T15" s="99">
        <v>1049.8</v>
      </c>
      <c r="U15" s="99">
        <f>22080.9+12396.7</f>
        <v>34477.600000000006</v>
      </c>
      <c r="V15" s="99">
        <v>93</v>
      </c>
      <c r="W15" s="99">
        <v>16.1</v>
      </c>
      <c r="X15" s="99"/>
      <c r="Y15" s="99"/>
      <c r="Z15" s="99"/>
      <c r="AA15" s="99"/>
      <c r="AB15" s="99"/>
      <c r="AC15" s="99"/>
      <c r="AD15" s="99"/>
      <c r="AE15" s="99"/>
      <c r="AF15" s="99">
        <f t="shared" si="1"/>
        <v>76410.60000000002</v>
      </c>
      <c r="AG15" s="99">
        <f aca="true" t="shared" si="3" ref="AG15:AG31">B15+C15-AF15</f>
        <v>31558.09999999999</v>
      </c>
      <c r="AI15" s="102"/>
    </row>
    <row r="16" spans="1:35" s="111" customFormat="1" ht="15" customHeight="1">
      <c r="A16" s="106" t="s">
        <v>38</v>
      </c>
      <c r="B16" s="107">
        <v>23019.6</v>
      </c>
      <c r="C16" s="107">
        <v>42.79999999999927</v>
      </c>
      <c r="D16" s="108"/>
      <c r="E16" s="108"/>
      <c r="F16" s="109"/>
      <c r="G16" s="109"/>
      <c r="H16" s="109"/>
      <c r="I16" s="109"/>
      <c r="J16" s="109">
        <v>8.7</v>
      </c>
      <c r="K16" s="109"/>
      <c r="L16" s="109"/>
      <c r="M16" s="109">
        <v>10597.9</v>
      </c>
      <c r="N16" s="109"/>
      <c r="O16" s="109"/>
      <c r="P16" s="109"/>
      <c r="Q16" s="109"/>
      <c r="R16" s="109"/>
      <c r="S16" s="109"/>
      <c r="T16" s="109"/>
      <c r="U16" s="109">
        <v>12396.8</v>
      </c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8">
        <f t="shared" si="1"/>
        <v>23003.4</v>
      </c>
      <c r="AG16" s="108">
        <f t="shared" si="3"/>
        <v>58.99999999999636</v>
      </c>
      <c r="AH16" s="110"/>
      <c r="AI16" s="102"/>
    </row>
    <row r="17" spans="1:35" s="101" customFormat="1" ht="15.75">
      <c r="A17" s="103" t="s">
        <v>5</v>
      </c>
      <c r="B17" s="98">
        <v>61793.1</v>
      </c>
      <c r="C17" s="98">
        <v>2733.659999999996</v>
      </c>
      <c r="D17" s="99"/>
      <c r="E17" s="99">
        <v>5.3</v>
      </c>
      <c r="F17" s="99">
        <v>4.8</v>
      </c>
      <c r="G17" s="99"/>
      <c r="H17" s="99"/>
      <c r="I17" s="99"/>
      <c r="J17" s="99">
        <v>8.7</v>
      </c>
      <c r="K17" s="99"/>
      <c r="L17" s="99"/>
      <c r="M17" s="99">
        <f>13704.4+10597.9</f>
        <v>24302.3</v>
      </c>
      <c r="N17" s="99"/>
      <c r="O17" s="99"/>
      <c r="P17" s="99"/>
      <c r="Q17" s="99"/>
      <c r="R17" s="99"/>
      <c r="S17" s="99"/>
      <c r="T17" s="99"/>
      <c r="U17" s="99">
        <f>21312.8+12396.7</f>
        <v>33709.5</v>
      </c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>
        <f t="shared" si="1"/>
        <v>58030.6</v>
      </c>
      <c r="AG17" s="99">
        <f t="shared" si="3"/>
        <v>6496.159999999996</v>
      </c>
      <c r="AH17" s="102"/>
      <c r="AI17" s="102"/>
    </row>
    <row r="18" spans="1:35" s="101" customFormat="1" ht="15.75">
      <c r="A18" s="103" t="s">
        <v>3</v>
      </c>
      <c r="B18" s="98"/>
      <c r="C18" s="98">
        <v>15.8</v>
      </c>
      <c r="D18" s="99"/>
      <c r="E18" s="99"/>
      <c r="F18" s="99"/>
      <c r="G18" s="99"/>
      <c r="H18" s="99">
        <v>0.3</v>
      </c>
      <c r="I18" s="99"/>
      <c r="J18" s="99">
        <v>0.4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>
        <f t="shared" si="1"/>
        <v>0.7</v>
      </c>
      <c r="AG18" s="99">
        <f t="shared" si="3"/>
        <v>15.100000000000001</v>
      </c>
      <c r="AI18" s="102"/>
    </row>
    <row r="19" spans="1:35" s="101" customFormat="1" ht="15.75">
      <c r="A19" s="103" t="s">
        <v>1</v>
      </c>
      <c r="B19" s="98">
        <v>5306.4</v>
      </c>
      <c r="C19" s="98">
        <v>2409.8999999999996</v>
      </c>
      <c r="D19" s="99"/>
      <c r="E19" s="99">
        <v>363.3</v>
      </c>
      <c r="F19" s="99">
        <v>73.4</v>
      </c>
      <c r="G19" s="99">
        <v>41.9</v>
      </c>
      <c r="H19" s="99">
        <v>403.7</v>
      </c>
      <c r="I19" s="99"/>
      <c r="J19" s="99">
        <v>10.1</v>
      </c>
      <c r="K19" s="99">
        <v>702.9</v>
      </c>
      <c r="L19" s="99">
        <v>518</v>
      </c>
      <c r="M19" s="99">
        <v>32.3</v>
      </c>
      <c r="N19" s="99">
        <v>798.8</v>
      </c>
      <c r="O19" s="99"/>
      <c r="P19" s="99">
        <v>479.5</v>
      </c>
      <c r="Q19" s="99">
        <v>841.8</v>
      </c>
      <c r="R19" s="99">
        <v>9.7</v>
      </c>
      <c r="S19" s="99">
        <v>390.5</v>
      </c>
      <c r="T19" s="99">
        <v>203.2</v>
      </c>
      <c r="U19" s="99">
        <v>283.8</v>
      </c>
      <c r="V19" s="99"/>
      <c r="W19" s="99">
        <v>14.8</v>
      </c>
      <c r="X19" s="99"/>
      <c r="Y19" s="99"/>
      <c r="Z19" s="99"/>
      <c r="AA19" s="99"/>
      <c r="AB19" s="99"/>
      <c r="AC19" s="99"/>
      <c r="AD19" s="99"/>
      <c r="AE19" s="99"/>
      <c r="AF19" s="99">
        <f t="shared" si="1"/>
        <v>5167.700000000001</v>
      </c>
      <c r="AG19" s="99">
        <f t="shared" si="3"/>
        <v>2548.5999999999985</v>
      </c>
      <c r="AI19" s="102"/>
    </row>
    <row r="20" spans="1:35" s="101" customFormat="1" ht="15.75">
      <c r="A20" s="103" t="s">
        <v>2</v>
      </c>
      <c r="B20" s="98">
        <v>6956.5</v>
      </c>
      <c r="C20" s="98">
        <v>19342.3</v>
      </c>
      <c r="D20" s="99"/>
      <c r="E20" s="99">
        <v>65.1</v>
      </c>
      <c r="F20" s="99">
        <v>547.6</v>
      </c>
      <c r="G20" s="99">
        <v>206.2</v>
      </c>
      <c r="H20" s="99">
        <v>1957.7</v>
      </c>
      <c r="I20" s="99"/>
      <c r="J20" s="99">
        <v>517</v>
      </c>
      <c r="K20" s="99">
        <v>1972.2</v>
      </c>
      <c r="L20" s="99">
        <v>544.3</v>
      </c>
      <c r="M20" s="99">
        <v>1550.3</v>
      </c>
      <c r="N20" s="99">
        <v>130.4</v>
      </c>
      <c r="O20" s="99"/>
      <c r="P20" s="99">
        <v>1057.3</v>
      </c>
      <c r="Q20" s="99">
        <v>163.5</v>
      </c>
      <c r="R20" s="99">
        <v>114.1</v>
      </c>
      <c r="S20" s="99">
        <v>287.7</v>
      </c>
      <c r="T20" s="99">
        <v>262.4</v>
      </c>
      <c r="U20" s="99">
        <v>79.6</v>
      </c>
      <c r="V20" s="99">
        <v>2</v>
      </c>
      <c r="W20" s="99">
        <f>0.6+1.1</f>
        <v>1.7000000000000002</v>
      </c>
      <c r="X20" s="99"/>
      <c r="Y20" s="99"/>
      <c r="Z20" s="99"/>
      <c r="AA20" s="99"/>
      <c r="AB20" s="99"/>
      <c r="AC20" s="99"/>
      <c r="AD20" s="99"/>
      <c r="AE20" s="99"/>
      <c r="AF20" s="99">
        <f t="shared" si="1"/>
        <v>9459.100000000002</v>
      </c>
      <c r="AG20" s="99">
        <f t="shared" si="3"/>
        <v>16839.699999999997</v>
      </c>
      <c r="AI20" s="102"/>
    </row>
    <row r="21" spans="1:35" s="101" customFormat="1" ht="15.75">
      <c r="A21" s="103" t="s">
        <v>16</v>
      </c>
      <c r="B21" s="98">
        <f>1151.3-2</f>
        <v>1149.3</v>
      </c>
      <c r="C21" s="98">
        <v>347.5</v>
      </c>
      <c r="D21" s="99"/>
      <c r="E21" s="99"/>
      <c r="F21" s="99"/>
      <c r="G21" s="99"/>
      <c r="H21" s="99"/>
      <c r="I21" s="99"/>
      <c r="J21" s="99"/>
      <c r="K21" s="99"/>
      <c r="L21" s="99"/>
      <c r="M21" s="99">
        <v>194.7</v>
      </c>
      <c r="N21" s="99"/>
      <c r="O21" s="99"/>
      <c r="P21" s="99"/>
      <c r="Q21" s="99"/>
      <c r="R21" s="99">
        <v>350.5</v>
      </c>
      <c r="S21" s="99"/>
      <c r="T21" s="99">
        <v>306</v>
      </c>
      <c r="U21" s="99">
        <v>128.9</v>
      </c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>
        <f t="shared" si="1"/>
        <v>980.1</v>
      </c>
      <c r="AG21" s="99">
        <f t="shared" si="3"/>
        <v>516.6999999999999</v>
      </c>
      <c r="AI21" s="102"/>
    </row>
    <row r="22" spans="1:35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>
        <f t="shared" si="1"/>
        <v>0</v>
      </c>
      <c r="AG22" s="99">
        <f t="shared" si="3"/>
        <v>0</v>
      </c>
      <c r="AI22" s="102"/>
    </row>
    <row r="23" spans="1:35" s="101" customFormat="1" ht="15.75">
      <c r="A23" s="103" t="s">
        <v>23</v>
      </c>
      <c r="B23" s="98">
        <f>B15-B17-B18-B19-B20-B21-B22</f>
        <v>3476.1000000000104</v>
      </c>
      <c r="C23" s="98">
        <v>4652.540000000017</v>
      </c>
      <c r="D23" s="99">
        <f aca="true" t="shared" si="4" ref="D23:AD23">D15-D17-D18-D19-D20-D21-D22</f>
        <v>0</v>
      </c>
      <c r="E23" s="99">
        <f t="shared" si="4"/>
        <v>195.80000000000004</v>
      </c>
      <c r="F23" s="99">
        <f t="shared" si="4"/>
        <v>107.70000000000005</v>
      </c>
      <c r="G23" s="99">
        <f t="shared" si="4"/>
        <v>7.5</v>
      </c>
      <c r="H23" s="99">
        <f t="shared" si="4"/>
        <v>395.10000000000014</v>
      </c>
      <c r="I23" s="99">
        <f t="shared" si="4"/>
        <v>0</v>
      </c>
      <c r="J23" s="99">
        <f t="shared" si="4"/>
        <v>101.10000000000002</v>
      </c>
      <c r="K23" s="99">
        <f t="shared" si="4"/>
        <v>0.7000000000000455</v>
      </c>
      <c r="L23" s="99">
        <f t="shared" si="4"/>
        <v>84.10000000000014</v>
      </c>
      <c r="M23" s="99">
        <f t="shared" si="4"/>
        <v>431.6999999999999</v>
      </c>
      <c r="N23" s="99">
        <f t="shared" si="4"/>
        <v>60.70000000000002</v>
      </c>
      <c r="O23" s="99">
        <f t="shared" si="4"/>
        <v>15.5</v>
      </c>
      <c r="P23" s="99">
        <f t="shared" si="4"/>
        <v>21.200000000000045</v>
      </c>
      <c r="Q23" s="99">
        <f t="shared" si="4"/>
        <v>300</v>
      </c>
      <c r="R23" s="99">
        <f t="shared" si="4"/>
        <v>20.5</v>
      </c>
      <c r="S23" s="99">
        <f t="shared" si="4"/>
        <v>386.2000000000001</v>
      </c>
      <c r="T23" s="99">
        <f t="shared" si="4"/>
        <v>278.19999999999993</v>
      </c>
      <c r="U23" s="99">
        <f t="shared" si="4"/>
        <v>275.80000000000587</v>
      </c>
      <c r="V23" s="99">
        <f t="shared" si="4"/>
        <v>91</v>
      </c>
      <c r="W23" s="99">
        <f t="shared" si="4"/>
        <v>-0.39999999999999947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/>
      <c r="AF23" s="99">
        <f t="shared" si="1"/>
        <v>2772.4000000000065</v>
      </c>
      <c r="AG23" s="99">
        <f t="shared" si="3"/>
        <v>5356.240000000022</v>
      </c>
      <c r="AI23" s="102"/>
    </row>
    <row r="24" spans="1:35" s="101" customFormat="1" ht="15" customHeight="1">
      <c r="A24" s="97" t="s">
        <v>7</v>
      </c>
      <c r="B24" s="98">
        <v>43035.5</v>
      </c>
      <c r="C24" s="98">
        <v>11664.400000000009</v>
      </c>
      <c r="D24" s="99"/>
      <c r="E24" s="99">
        <f>112+0.7</f>
        <v>112.7</v>
      </c>
      <c r="F24" s="99">
        <v>344.2</v>
      </c>
      <c r="G24" s="99"/>
      <c r="H24" s="99">
        <v>2929.9</v>
      </c>
      <c r="I24" s="99"/>
      <c r="J24" s="99">
        <f>1165.4+743.9</f>
        <v>1909.3000000000002</v>
      </c>
      <c r="K24" s="99"/>
      <c r="L24" s="99">
        <f>679.4+7774.7</f>
        <v>8454.1</v>
      </c>
      <c r="M24" s="99">
        <v>2133.2</v>
      </c>
      <c r="N24" s="99">
        <f>898.2+803.2</f>
        <v>1701.4</v>
      </c>
      <c r="O24" s="99">
        <v>71.5</v>
      </c>
      <c r="P24" s="99">
        <v>33.9</v>
      </c>
      <c r="Q24" s="99"/>
      <c r="R24" s="99"/>
      <c r="S24" s="99">
        <f>3441.8+1127</f>
        <v>4568.8</v>
      </c>
      <c r="T24" s="99">
        <f>11820.4+4421.6</f>
        <v>16242</v>
      </c>
      <c r="U24" s="99">
        <v>307.4</v>
      </c>
      <c r="V24" s="99">
        <f>1843.4+2</f>
        <v>1845.4</v>
      </c>
      <c r="W24" s="99"/>
      <c r="X24" s="99"/>
      <c r="Y24" s="99"/>
      <c r="Z24" s="99"/>
      <c r="AA24" s="99"/>
      <c r="AB24" s="99"/>
      <c r="AC24" s="99"/>
      <c r="AD24" s="99"/>
      <c r="AE24" s="99"/>
      <c r="AF24" s="99">
        <f t="shared" si="1"/>
        <v>40653.8</v>
      </c>
      <c r="AG24" s="99">
        <f t="shared" si="3"/>
        <v>14046.100000000006</v>
      </c>
      <c r="AI24" s="102"/>
    </row>
    <row r="25" spans="1:35" s="111" customFormat="1" ht="15" customHeight="1">
      <c r="A25" s="106" t="s">
        <v>39</v>
      </c>
      <c r="B25" s="107">
        <v>17138</v>
      </c>
      <c r="C25" s="107">
        <v>0</v>
      </c>
      <c r="D25" s="109"/>
      <c r="E25" s="109">
        <v>0.7</v>
      </c>
      <c r="F25" s="109"/>
      <c r="G25" s="109"/>
      <c r="H25" s="109"/>
      <c r="I25" s="109"/>
      <c r="J25" s="109">
        <v>743.9</v>
      </c>
      <c r="K25" s="109"/>
      <c r="L25" s="109">
        <v>7774.7</v>
      </c>
      <c r="M25" s="109">
        <v>2133.2</v>
      </c>
      <c r="N25" s="109">
        <v>803.2</v>
      </c>
      <c r="O25" s="109"/>
      <c r="P25" s="109">
        <v>33.9</v>
      </c>
      <c r="Q25" s="109"/>
      <c r="R25" s="109"/>
      <c r="S25" s="109">
        <v>1127</v>
      </c>
      <c r="T25" s="109">
        <v>4421.6</v>
      </c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8">
        <f t="shared" si="1"/>
        <v>17038.2</v>
      </c>
      <c r="AG25" s="108">
        <f t="shared" si="3"/>
        <v>99.79999999999927</v>
      </c>
      <c r="AH25" s="110"/>
      <c r="AI25" s="102"/>
    </row>
    <row r="26" spans="1:35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>
        <f t="shared" si="1"/>
        <v>0</v>
      </c>
      <c r="AG26" s="99">
        <f t="shared" si="3"/>
        <v>0</v>
      </c>
      <c r="AH26" s="102"/>
      <c r="AI26" s="102"/>
    </row>
    <row r="27" spans="1:35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>
        <f t="shared" si="1"/>
        <v>0</v>
      </c>
      <c r="AG27" s="99">
        <f t="shared" si="3"/>
        <v>0</v>
      </c>
      <c r="AI27" s="102"/>
    </row>
    <row r="28" spans="1:35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>
        <f t="shared" si="1"/>
        <v>0</v>
      </c>
      <c r="AG28" s="99">
        <f t="shared" si="3"/>
        <v>0</v>
      </c>
      <c r="AI28" s="102"/>
    </row>
    <row r="29" spans="1:35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>
        <f t="shared" si="1"/>
        <v>0</v>
      </c>
      <c r="AG29" s="99">
        <f t="shared" si="3"/>
        <v>0</v>
      </c>
      <c r="AI29" s="102"/>
    </row>
    <row r="30" spans="1:35" s="101" customFormat="1" ht="15.75">
      <c r="A30" s="103" t="s">
        <v>16</v>
      </c>
      <c r="B30" s="98">
        <v>90.9</v>
      </c>
      <c r="C30" s="98">
        <v>181.7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>
        <v>199.3</v>
      </c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>
        <f t="shared" si="1"/>
        <v>199.3</v>
      </c>
      <c r="AG30" s="99">
        <f t="shared" si="3"/>
        <v>73.30000000000001</v>
      </c>
      <c r="AI30" s="102"/>
    </row>
    <row r="31" spans="1:35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>
        <f t="shared" si="1"/>
        <v>0</v>
      </c>
      <c r="AG31" s="99">
        <f t="shared" si="3"/>
        <v>0</v>
      </c>
      <c r="AI31" s="102"/>
    </row>
    <row r="32" spans="1:35" s="101" customFormat="1" ht="15.75">
      <c r="A32" s="103" t="s">
        <v>23</v>
      </c>
      <c r="B32" s="98">
        <f>B24-B30</f>
        <v>42944.6</v>
      </c>
      <c r="C32" s="98">
        <v>11482.700000000008</v>
      </c>
      <c r="D32" s="99">
        <f aca="true" t="shared" si="5" ref="D32:AD32">D24-D26-D27-D28-D29-D30-D31</f>
        <v>0</v>
      </c>
      <c r="E32" s="99">
        <f t="shared" si="5"/>
        <v>112.7</v>
      </c>
      <c r="F32" s="99">
        <f t="shared" si="5"/>
        <v>344.2</v>
      </c>
      <c r="G32" s="99">
        <f t="shared" si="5"/>
        <v>0</v>
      </c>
      <c r="H32" s="99">
        <f t="shared" si="5"/>
        <v>2929.9</v>
      </c>
      <c r="I32" s="99">
        <f t="shared" si="5"/>
        <v>0</v>
      </c>
      <c r="J32" s="99">
        <f t="shared" si="5"/>
        <v>1909.3000000000002</v>
      </c>
      <c r="K32" s="99">
        <f t="shared" si="5"/>
        <v>0</v>
      </c>
      <c r="L32" s="99">
        <f t="shared" si="5"/>
        <v>8454.1</v>
      </c>
      <c r="M32" s="99">
        <f t="shared" si="5"/>
        <v>2133.2</v>
      </c>
      <c r="N32" s="99">
        <f t="shared" si="5"/>
        <v>1701.4</v>
      </c>
      <c r="O32" s="99">
        <f t="shared" si="5"/>
        <v>71.5</v>
      </c>
      <c r="P32" s="99">
        <f t="shared" si="5"/>
        <v>33.9</v>
      </c>
      <c r="Q32" s="99">
        <f t="shared" si="5"/>
        <v>0</v>
      </c>
      <c r="R32" s="99">
        <f t="shared" si="5"/>
        <v>0</v>
      </c>
      <c r="S32" s="99">
        <f t="shared" si="5"/>
        <v>4369.5</v>
      </c>
      <c r="T32" s="99">
        <f t="shared" si="5"/>
        <v>16242</v>
      </c>
      <c r="U32" s="99">
        <f t="shared" si="5"/>
        <v>307.4</v>
      </c>
      <c r="V32" s="99">
        <f t="shared" si="5"/>
        <v>1845.4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/>
      <c r="AF32" s="99">
        <f t="shared" si="1"/>
        <v>40454.50000000001</v>
      </c>
      <c r="AG32" s="99">
        <f>AG24-AG30</f>
        <v>13972.800000000007</v>
      </c>
      <c r="AI32" s="102"/>
    </row>
    <row r="33" spans="1:35" s="101" customFormat="1" ht="15" customHeight="1">
      <c r="A33" s="97" t="s">
        <v>8</v>
      </c>
      <c r="B33" s="98">
        <v>438.5</v>
      </c>
      <c r="C33" s="98">
        <v>153.20000000000016</v>
      </c>
      <c r="D33" s="99"/>
      <c r="E33" s="99"/>
      <c r="F33" s="99"/>
      <c r="G33" s="99"/>
      <c r="H33" s="99"/>
      <c r="I33" s="99"/>
      <c r="J33" s="99">
        <v>30.8</v>
      </c>
      <c r="K33" s="99"/>
      <c r="L33" s="99">
        <v>60.6</v>
      </c>
      <c r="M33" s="99">
        <v>59.8</v>
      </c>
      <c r="N33" s="99">
        <v>0.5</v>
      </c>
      <c r="O33" s="99"/>
      <c r="P33" s="99"/>
      <c r="Q33" s="99"/>
      <c r="R33" s="99">
        <v>2.3</v>
      </c>
      <c r="S33" s="99"/>
      <c r="T33" s="99">
        <v>86.2</v>
      </c>
      <c r="U33" s="99">
        <f>133.9-1.9</f>
        <v>132</v>
      </c>
      <c r="V33" s="99">
        <f>48.6+0.1</f>
        <v>48.7</v>
      </c>
      <c r="W33" s="99"/>
      <c r="X33" s="99"/>
      <c r="Y33" s="99"/>
      <c r="Z33" s="99"/>
      <c r="AA33" s="99"/>
      <c r="AB33" s="99"/>
      <c r="AC33" s="99"/>
      <c r="AD33" s="99"/>
      <c r="AE33" s="99"/>
      <c r="AF33" s="99">
        <f t="shared" si="1"/>
        <v>420.9</v>
      </c>
      <c r="AG33" s="99">
        <f aca="true" t="shared" si="6" ref="AG33:AG38">B33+C33-AF33</f>
        <v>170.80000000000018</v>
      </c>
      <c r="AI33" s="102"/>
    </row>
    <row r="34" spans="1:35" s="101" customFormat="1" ht="15.75">
      <c r="A34" s="103" t="s">
        <v>5</v>
      </c>
      <c r="B34" s="98">
        <v>298</v>
      </c>
      <c r="C34" s="98">
        <v>24.69999999999999</v>
      </c>
      <c r="D34" s="99"/>
      <c r="E34" s="99"/>
      <c r="F34" s="99"/>
      <c r="G34" s="99"/>
      <c r="H34" s="99"/>
      <c r="I34" s="99"/>
      <c r="J34" s="99"/>
      <c r="K34" s="99"/>
      <c r="L34" s="99">
        <v>54.2</v>
      </c>
      <c r="M34" s="99">
        <v>59.8</v>
      </c>
      <c r="N34" s="99"/>
      <c r="O34" s="99"/>
      <c r="P34" s="99"/>
      <c r="Q34" s="99"/>
      <c r="R34" s="99"/>
      <c r="S34" s="99"/>
      <c r="T34" s="99">
        <v>86.2</v>
      </c>
      <c r="U34" s="99">
        <v>109.7</v>
      </c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>
        <f t="shared" si="1"/>
        <v>309.9</v>
      </c>
      <c r="AG34" s="99">
        <f t="shared" si="6"/>
        <v>12.800000000000011</v>
      </c>
      <c r="AI34" s="102"/>
    </row>
    <row r="35" spans="1:35" s="101" customFormat="1" ht="15.75" hidden="1">
      <c r="A35" s="103" t="s">
        <v>1</v>
      </c>
      <c r="B35" s="98"/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>
        <f t="shared" si="1"/>
        <v>0</v>
      </c>
      <c r="AG35" s="99">
        <f t="shared" si="6"/>
        <v>0</v>
      </c>
      <c r="AI35" s="102"/>
    </row>
    <row r="36" spans="1:35" s="101" customFormat="1" ht="15.75">
      <c r="A36" s="103" t="s">
        <v>2</v>
      </c>
      <c r="B36" s="112">
        <v>48</v>
      </c>
      <c r="C36" s="98">
        <v>78.2</v>
      </c>
      <c r="D36" s="99"/>
      <c r="E36" s="99"/>
      <c r="F36" s="99"/>
      <c r="G36" s="99"/>
      <c r="H36" s="99"/>
      <c r="I36" s="99"/>
      <c r="J36" s="99">
        <v>30.8</v>
      </c>
      <c r="K36" s="99"/>
      <c r="L36" s="99"/>
      <c r="M36" s="99"/>
      <c r="N36" s="99">
        <v>0.2</v>
      </c>
      <c r="O36" s="99"/>
      <c r="P36" s="99"/>
      <c r="Q36" s="99"/>
      <c r="R36" s="99"/>
      <c r="S36" s="99"/>
      <c r="T36" s="99"/>
      <c r="U36" s="99">
        <v>16.8</v>
      </c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>
        <f t="shared" si="1"/>
        <v>47.8</v>
      </c>
      <c r="AG36" s="99">
        <f t="shared" si="6"/>
        <v>78.4</v>
      </c>
      <c r="AI36" s="102"/>
    </row>
    <row r="37" spans="1:35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>
        <f t="shared" si="1"/>
        <v>0</v>
      </c>
      <c r="AG37" s="99">
        <f t="shared" si="6"/>
        <v>0</v>
      </c>
      <c r="AI37" s="102"/>
    </row>
    <row r="38" spans="1:35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>
        <f t="shared" si="1"/>
        <v>0</v>
      </c>
      <c r="AG38" s="99">
        <f t="shared" si="6"/>
        <v>0</v>
      </c>
      <c r="AI38" s="102"/>
    </row>
    <row r="39" spans="1:35" s="101" customFormat="1" ht="15.75">
      <c r="A39" s="103" t="s">
        <v>23</v>
      </c>
      <c r="B39" s="98">
        <f aca="true" t="shared" si="7" ref="B39:AD39">B33-B34-B36-B38-B37-B35</f>
        <v>92.5</v>
      </c>
      <c r="C39" s="98">
        <v>50.30000000000017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 t="shared" si="7"/>
        <v>0</v>
      </c>
      <c r="I39" s="99">
        <f t="shared" si="7"/>
        <v>0</v>
      </c>
      <c r="J39" s="99">
        <f t="shared" si="7"/>
        <v>0</v>
      </c>
      <c r="K39" s="99">
        <f t="shared" si="7"/>
        <v>0</v>
      </c>
      <c r="L39" s="99">
        <f t="shared" si="7"/>
        <v>6.399999999999999</v>
      </c>
      <c r="M39" s="99">
        <f t="shared" si="7"/>
        <v>0</v>
      </c>
      <c r="N39" s="99">
        <f t="shared" si="7"/>
        <v>0.3</v>
      </c>
      <c r="O39" s="99">
        <f t="shared" si="7"/>
        <v>0</v>
      </c>
      <c r="P39" s="99">
        <f t="shared" si="7"/>
        <v>0</v>
      </c>
      <c r="Q39" s="99">
        <f t="shared" si="7"/>
        <v>0</v>
      </c>
      <c r="R39" s="99">
        <f t="shared" si="7"/>
        <v>2.3</v>
      </c>
      <c r="S39" s="99">
        <f t="shared" si="7"/>
        <v>0</v>
      </c>
      <c r="T39" s="99">
        <f t="shared" si="7"/>
        <v>0</v>
      </c>
      <c r="U39" s="99">
        <f t="shared" si="7"/>
        <v>5.4999999999999964</v>
      </c>
      <c r="V39" s="99">
        <f t="shared" si="7"/>
        <v>48.7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/>
      <c r="AF39" s="99">
        <f t="shared" si="1"/>
        <v>63.199999999999996</v>
      </c>
      <c r="AG39" s="99">
        <f>AG33-AG34-AG36-AG38-AG35-AG37</f>
        <v>79.60000000000016</v>
      </c>
      <c r="AI39" s="102"/>
    </row>
    <row r="40" spans="1:35" s="101" customFormat="1" ht="15" customHeight="1">
      <c r="A40" s="97" t="s">
        <v>29</v>
      </c>
      <c r="B40" s="98">
        <v>1509.7</v>
      </c>
      <c r="C40" s="98">
        <v>205.00000000000023</v>
      </c>
      <c r="D40" s="99"/>
      <c r="E40" s="99"/>
      <c r="F40" s="99"/>
      <c r="G40" s="99"/>
      <c r="H40" s="99">
        <v>61.4</v>
      </c>
      <c r="I40" s="99"/>
      <c r="J40" s="99">
        <v>2.9</v>
      </c>
      <c r="K40" s="99"/>
      <c r="L40" s="99">
        <v>439.9</v>
      </c>
      <c r="M40" s="99"/>
      <c r="N40" s="99"/>
      <c r="O40" s="99"/>
      <c r="P40" s="99">
        <v>0.3</v>
      </c>
      <c r="Q40" s="99"/>
      <c r="R40" s="99">
        <v>42</v>
      </c>
      <c r="S40" s="99"/>
      <c r="T40" s="99"/>
      <c r="U40" s="99">
        <v>847.8</v>
      </c>
      <c r="V40" s="99"/>
      <c r="W40" s="99">
        <v>8.3</v>
      </c>
      <c r="X40" s="99"/>
      <c r="Y40" s="99"/>
      <c r="Z40" s="99"/>
      <c r="AA40" s="99"/>
      <c r="AB40" s="99"/>
      <c r="AC40" s="99"/>
      <c r="AD40" s="99"/>
      <c r="AE40" s="99"/>
      <c r="AF40" s="99">
        <f t="shared" si="1"/>
        <v>1402.6</v>
      </c>
      <c r="AG40" s="99">
        <f aca="true" t="shared" si="8" ref="AG40:AG45">B40+C40-AF40</f>
        <v>312.10000000000036</v>
      </c>
      <c r="AI40" s="102"/>
    </row>
    <row r="41" spans="1:35" s="101" customFormat="1" ht="15.75">
      <c r="A41" s="103" t="s">
        <v>5</v>
      </c>
      <c r="B41" s="98">
        <v>1296.4</v>
      </c>
      <c r="C41" s="98">
        <v>101.19999999999982</v>
      </c>
      <c r="D41" s="99"/>
      <c r="E41" s="99"/>
      <c r="F41" s="99"/>
      <c r="G41" s="99"/>
      <c r="H41" s="99"/>
      <c r="I41" s="99"/>
      <c r="J41" s="99"/>
      <c r="K41" s="99"/>
      <c r="L41" s="99">
        <v>425</v>
      </c>
      <c r="M41" s="99"/>
      <c r="N41" s="99"/>
      <c r="O41" s="99"/>
      <c r="P41" s="99"/>
      <c r="Q41" s="99"/>
      <c r="R41" s="99"/>
      <c r="S41" s="99"/>
      <c r="T41" s="99"/>
      <c r="U41" s="99">
        <f>839.9+0.1</f>
        <v>840</v>
      </c>
      <c r="V41" s="99"/>
      <c r="W41" s="99">
        <v>7</v>
      </c>
      <c r="X41" s="99"/>
      <c r="Y41" s="99"/>
      <c r="Z41" s="99"/>
      <c r="AA41" s="99"/>
      <c r="AB41" s="99"/>
      <c r="AC41" s="99"/>
      <c r="AD41" s="99"/>
      <c r="AE41" s="99"/>
      <c r="AF41" s="99">
        <f t="shared" si="1"/>
        <v>1272</v>
      </c>
      <c r="AG41" s="99">
        <f t="shared" si="8"/>
        <v>125.59999999999991</v>
      </c>
      <c r="AH41" s="102"/>
      <c r="AI41" s="102"/>
    </row>
    <row r="42" spans="1:35" s="101" customFormat="1" ht="15.75">
      <c r="A42" s="103" t="s">
        <v>3</v>
      </c>
      <c r="B42" s="98"/>
      <c r="C42" s="98">
        <v>0.9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>
        <f t="shared" si="1"/>
        <v>0</v>
      </c>
      <c r="AG42" s="99">
        <f t="shared" si="8"/>
        <v>0.9</v>
      </c>
      <c r="AI42" s="102"/>
    </row>
    <row r="43" spans="1:35" s="101" customFormat="1" ht="15.75">
      <c r="A43" s="103" t="s">
        <v>1</v>
      </c>
      <c r="B43" s="98">
        <v>10.3</v>
      </c>
      <c r="C43" s="98">
        <v>2.3000000000000007</v>
      </c>
      <c r="D43" s="99"/>
      <c r="E43" s="99"/>
      <c r="F43" s="99"/>
      <c r="G43" s="99"/>
      <c r="H43" s="99">
        <v>10.1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>
        <f t="shared" si="1"/>
        <v>10.1</v>
      </c>
      <c r="AG43" s="99">
        <f t="shared" si="8"/>
        <v>2.5000000000000018</v>
      </c>
      <c r="AI43" s="102"/>
    </row>
    <row r="44" spans="1:35" s="101" customFormat="1" ht="15.75">
      <c r="A44" s="103" t="s">
        <v>2</v>
      </c>
      <c r="B44" s="98">
        <v>168.6</v>
      </c>
      <c r="C44" s="98">
        <v>92.10000000000005</v>
      </c>
      <c r="D44" s="99"/>
      <c r="E44" s="99"/>
      <c r="F44" s="99"/>
      <c r="G44" s="99"/>
      <c r="H44" s="99">
        <v>37.7</v>
      </c>
      <c r="I44" s="99"/>
      <c r="J44" s="99"/>
      <c r="K44" s="99"/>
      <c r="L44" s="99"/>
      <c r="M44" s="99"/>
      <c r="N44" s="99"/>
      <c r="O44" s="99"/>
      <c r="P44" s="99">
        <v>0.1</v>
      </c>
      <c r="Q44" s="99"/>
      <c r="R44" s="99">
        <v>42</v>
      </c>
      <c r="S44" s="99"/>
      <c r="T44" s="99"/>
      <c r="U44" s="99">
        <v>5.3</v>
      </c>
      <c r="V44" s="99"/>
      <c r="W44" s="99">
        <v>1.3</v>
      </c>
      <c r="X44" s="99"/>
      <c r="Y44" s="99"/>
      <c r="Z44" s="99"/>
      <c r="AA44" s="99"/>
      <c r="AB44" s="99"/>
      <c r="AC44" s="99"/>
      <c r="AD44" s="99"/>
      <c r="AE44" s="99"/>
      <c r="AF44" s="99">
        <f t="shared" si="1"/>
        <v>86.4</v>
      </c>
      <c r="AG44" s="99">
        <f t="shared" si="8"/>
        <v>174.30000000000004</v>
      </c>
      <c r="AI44" s="102"/>
    </row>
    <row r="45" spans="1:35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>
        <f t="shared" si="1"/>
        <v>0</v>
      </c>
      <c r="AG45" s="99">
        <f t="shared" si="8"/>
        <v>0</v>
      </c>
      <c r="AI45" s="102"/>
    </row>
    <row r="46" spans="1:35" s="101" customFormat="1" ht="15.75">
      <c r="A46" s="103" t="s">
        <v>23</v>
      </c>
      <c r="B46" s="98">
        <f aca="true" t="shared" si="9" ref="B46:AD46">B40-B41-B42-B43-B44-B45</f>
        <v>34.39999999999995</v>
      </c>
      <c r="C46" s="98">
        <v>8.500000000000355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0</v>
      </c>
      <c r="H46" s="99">
        <f t="shared" si="9"/>
        <v>13.599999999999994</v>
      </c>
      <c r="I46" s="99">
        <f t="shared" si="9"/>
        <v>0</v>
      </c>
      <c r="J46" s="99">
        <f t="shared" si="9"/>
        <v>2.9</v>
      </c>
      <c r="K46" s="99">
        <f t="shared" si="9"/>
        <v>0</v>
      </c>
      <c r="L46" s="99">
        <f t="shared" si="9"/>
        <v>14.899999999999977</v>
      </c>
      <c r="M46" s="99">
        <f t="shared" si="9"/>
        <v>0</v>
      </c>
      <c r="N46" s="99">
        <f t="shared" si="9"/>
        <v>0</v>
      </c>
      <c r="O46" s="99">
        <f t="shared" si="9"/>
        <v>0</v>
      </c>
      <c r="P46" s="99">
        <f t="shared" si="9"/>
        <v>0.19999999999999998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2.4999999999999547</v>
      </c>
      <c r="V46" s="99">
        <f t="shared" si="9"/>
        <v>0</v>
      </c>
      <c r="W46" s="99">
        <f t="shared" si="9"/>
        <v>6.661338147750939E-16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/>
      <c r="AF46" s="99">
        <f t="shared" si="1"/>
        <v>34.09999999999992</v>
      </c>
      <c r="AG46" s="99">
        <f>AG40-AG41-AG42-AG43-AG44-AG45</f>
        <v>8.80000000000041</v>
      </c>
      <c r="AI46" s="102"/>
    </row>
    <row r="47" spans="1:35" s="101" customFormat="1" ht="17.25" customHeight="1">
      <c r="A47" s="97" t="s">
        <v>43</v>
      </c>
      <c r="B47" s="104">
        <f>6591+15.1-20+7.6-100</f>
        <v>6493.700000000001</v>
      </c>
      <c r="C47" s="98">
        <v>2862.6000000000004</v>
      </c>
      <c r="D47" s="99"/>
      <c r="E47" s="113"/>
      <c r="F47" s="113">
        <v>244.7</v>
      </c>
      <c r="G47" s="113">
        <v>2133</v>
      </c>
      <c r="H47" s="113"/>
      <c r="I47" s="113"/>
      <c r="J47" s="113">
        <v>95.9</v>
      </c>
      <c r="K47" s="113">
        <v>222.1</v>
      </c>
      <c r="L47" s="113"/>
      <c r="M47" s="113"/>
      <c r="N47" s="113">
        <v>227.2</v>
      </c>
      <c r="O47" s="113"/>
      <c r="P47" s="113">
        <v>5.1</v>
      </c>
      <c r="Q47" s="113">
        <v>12.2</v>
      </c>
      <c r="R47" s="113">
        <v>1874.9</v>
      </c>
      <c r="S47" s="113">
        <v>12</v>
      </c>
      <c r="T47" s="113">
        <v>212.4</v>
      </c>
      <c r="U47" s="113">
        <v>688.5</v>
      </c>
      <c r="V47" s="113">
        <f>49.9-8.5</f>
        <v>41.4</v>
      </c>
      <c r="W47" s="113"/>
      <c r="X47" s="113"/>
      <c r="Y47" s="113"/>
      <c r="Z47" s="113"/>
      <c r="AA47" s="113"/>
      <c r="AB47" s="113"/>
      <c r="AC47" s="113"/>
      <c r="AD47" s="113"/>
      <c r="AE47" s="113"/>
      <c r="AF47" s="99">
        <f t="shared" si="1"/>
        <v>5769.399999999999</v>
      </c>
      <c r="AG47" s="99">
        <f>B47+C47-AF47</f>
        <v>3586.9000000000024</v>
      </c>
      <c r="AI47" s="102"/>
    </row>
    <row r="48" spans="1:35" s="101" customFormat="1" ht="15.75">
      <c r="A48" s="103" t="s">
        <v>5</v>
      </c>
      <c r="B48" s="98">
        <v>54.4</v>
      </c>
      <c r="C48" s="98">
        <v>54.4</v>
      </c>
      <c r="D48" s="99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>
        <v>0</v>
      </c>
      <c r="V48" s="113">
        <v>19.3</v>
      </c>
      <c r="W48" s="113"/>
      <c r="X48" s="113"/>
      <c r="Y48" s="113"/>
      <c r="Z48" s="113"/>
      <c r="AA48" s="113"/>
      <c r="AB48" s="113"/>
      <c r="AC48" s="113"/>
      <c r="AD48" s="113"/>
      <c r="AE48" s="113"/>
      <c r="AF48" s="99">
        <f t="shared" si="1"/>
        <v>19.3</v>
      </c>
      <c r="AG48" s="99">
        <f>B48+C48-AF48</f>
        <v>89.5</v>
      </c>
      <c r="AI48" s="102"/>
    </row>
    <row r="49" spans="1:35" s="101" customFormat="1" ht="15.75">
      <c r="A49" s="103" t="s">
        <v>16</v>
      </c>
      <c r="B49" s="98">
        <f>5882+15.1-20+7.6</f>
        <v>5884.700000000001</v>
      </c>
      <c r="C49" s="98">
        <v>1470.6000000000004</v>
      </c>
      <c r="D49" s="99"/>
      <c r="E49" s="99"/>
      <c r="F49" s="99">
        <v>244.7</v>
      </c>
      <c r="G49" s="99">
        <v>2133</v>
      </c>
      <c r="H49" s="99"/>
      <c r="I49" s="99"/>
      <c r="J49" s="99">
        <v>95.9</v>
      </c>
      <c r="K49" s="99">
        <v>222</v>
      </c>
      <c r="L49" s="99"/>
      <c r="M49" s="99"/>
      <c r="N49" s="99">
        <f>164.6+40.2</f>
        <v>204.8</v>
      </c>
      <c r="O49" s="99"/>
      <c r="P49" s="99">
        <v>5.1</v>
      </c>
      <c r="Q49" s="99"/>
      <c r="R49" s="99">
        <f>1874.9-19.1</f>
        <v>1855.8000000000002</v>
      </c>
      <c r="S49" s="99">
        <v>12</v>
      </c>
      <c r="T49" s="99">
        <v>212.4</v>
      </c>
      <c r="U49" s="99">
        <v>439.2</v>
      </c>
      <c r="V49" s="99">
        <f>30.6-8.5-2</f>
        <v>20.1</v>
      </c>
      <c r="W49" s="99"/>
      <c r="X49" s="99"/>
      <c r="Y49" s="99"/>
      <c r="Z49" s="99"/>
      <c r="AA49" s="99"/>
      <c r="AB49" s="99"/>
      <c r="AC49" s="99"/>
      <c r="AD49" s="99"/>
      <c r="AE49" s="99"/>
      <c r="AF49" s="99">
        <f t="shared" si="1"/>
        <v>5445</v>
      </c>
      <c r="AG49" s="99">
        <f>B49+C49-AF49</f>
        <v>1910.300000000001</v>
      </c>
      <c r="AI49" s="102"/>
    </row>
    <row r="50" spans="1:35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>
        <f t="shared" si="1"/>
        <v>0</v>
      </c>
      <c r="AG50" s="99">
        <f>B50+C50-AF50</f>
        <v>0</v>
      </c>
      <c r="AI50" s="102"/>
    </row>
    <row r="51" spans="1:35" s="101" customFormat="1" ht="15.75">
      <c r="A51" s="115" t="s">
        <v>23</v>
      </c>
      <c r="B51" s="98">
        <f aca="true" t="shared" si="10" ref="B51:AD51">B47-B48-B49</f>
        <v>554.6000000000004</v>
      </c>
      <c r="C51" s="98">
        <v>1337.6</v>
      </c>
      <c r="D51" s="99">
        <f t="shared" si="10"/>
        <v>0</v>
      </c>
      <c r="E51" s="99">
        <f t="shared" si="10"/>
        <v>0</v>
      </c>
      <c r="F51" s="99">
        <f t="shared" si="10"/>
        <v>0</v>
      </c>
      <c r="G51" s="99">
        <f t="shared" si="10"/>
        <v>0</v>
      </c>
      <c r="H51" s="99">
        <f t="shared" si="10"/>
        <v>0</v>
      </c>
      <c r="I51" s="99">
        <f t="shared" si="10"/>
        <v>0</v>
      </c>
      <c r="J51" s="99">
        <f t="shared" si="10"/>
        <v>0</v>
      </c>
      <c r="K51" s="99">
        <f t="shared" si="10"/>
        <v>0.09999999999999432</v>
      </c>
      <c r="L51" s="99">
        <f t="shared" si="10"/>
        <v>0</v>
      </c>
      <c r="M51" s="99">
        <f t="shared" si="10"/>
        <v>0</v>
      </c>
      <c r="N51" s="99">
        <f t="shared" si="10"/>
        <v>22.399999999999977</v>
      </c>
      <c r="O51" s="99">
        <f t="shared" si="10"/>
        <v>0</v>
      </c>
      <c r="P51" s="99">
        <f t="shared" si="10"/>
        <v>0</v>
      </c>
      <c r="Q51" s="99">
        <f t="shared" si="10"/>
        <v>12.2</v>
      </c>
      <c r="R51" s="99">
        <f t="shared" si="10"/>
        <v>19.09999999999991</v>
      </c>
      <c r="S51" s="99">
        <f t="shared" si="10"/>
        <v>0</v>
      </c>
      <c r="T51" s="99">
        <f t="shared" si="10"/>
        <v>0</v>
      </c>
      <c r="U51" s="99">
        <f t="shared" si="10"/>
        <v>249.3</v>
      </c>
      <c r="V51" s="99">
        <f t="shared" si="10"/>
        <v>1.9999999999999964</v>
      </c>
      <c r="W51" s="99">
        <f t="shared" si="10"/>
        <v>0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/>
      <c r="AF51" s="99">
        <f t="shared" si="1"/>
        <v>305.0999999999999</v>
      </c>
      <c r="AG51" s="99">
        <f>AG47-AG49-AG48</f>
        <v>1587.1000000000013</v>
      </c>
      <c r="AI51" s="102"/>
    </row>
    <row r="52" spans="1:35" s="101" customFormat="1" ht="15" customHeight="1">
      <c r="A52" s="97" t="s">
        <v>0</v>
      </c>
      <c r="B52" s="98">
        <f>14853.4-85.6+44.8-3000-2000</f>
        <v>9812.599999999999</v>
      </c>
      <c r="C52" s="98">
        <v>11149.999999999996</v>
      </c>
      <c r="D52" s="99"/>
      <c r="E52" s="99">
        <v>3.5</v>
      </c>
      <c r="F52" s="99">
        <v>157.9</v>
      </c>
      <c r="G52" s="99">
        <v>215.4</v>
      </c>
      <c r="H52" s="99">
        <v>10546.5</v>
      </c>
      <c r="I52" s="99"/>
      <c r="J52" s="99">
        <v>1149.5</v>
      </c>
      <c r="K52" s="99">
        <v>25.1</v>
      </c>
      <c r="L52" s="99"/>
      <c r="M52" s="99">
        <v>98.2</v>
      </c>
      <c r="N52" s="99">
        <v>543.6</v>
      </c>
      <c r="O52" s="99"/>
      <c r="P52" s="99"/>
      <c r="Q52" s="99">
        <v>176.7</v>
      </c>
      <c r="R52" s="99">
        <v>29.8</v>
      </c>
      <c r="S52" s="99">
        <v>75.6</v>
      </c>
      <c r="T52" s="99"/>
      <c r="U52" s="99">
        <v>1142.3</v>
      </c>
      <c r="V52" s="99">
        <v>18.4</v>
      </c>
      <c r="W52" s="99">
        <v>2564.5</v>
      </c>
      <c r="X52" s="99"/>
      <c r="Y52" s="99"/>
      <c r="Z52" s="99"/>
      <c r="AA52" s="99"/>
      <c r="AB52" s="99"/>
      <c r="AC52" s="99"/>
      <c r="AD52" s="99"/>
      <c r="AE52" s="99"/>
      <c r="AF52" s="99">
        <f t="shared" si="1"/>
        <v>16747</v>
      </c>
      <c r="AG52" s="99">
        <f aca="true" t="shared" si="11" ref="AG52:AG59">B52+C52-AF52</f>
        <v>4215.599999999995</v>
      </c>
      <c r="AI52" s="102"/>
    </row>
    <row r="53" spans="1:35" s="101" customFormat="1" ht="15" customHeight="1">
      <c r="A53" s="103" t="s">
        <v>2</v>
      </c>
      <c r="B53" s="98">
        <f>2612.5-1000</f>
        <v>1612.5</v>
      </c>
      <c r="C53" s="98">
        <v>903.3999999999996</v>
      </c>
      <c r="D53" s="99"/>
      <c r="E53" s="99"/>
      <c r="F53" s="99"/>
      <c r="G53" s="99"/>
      <c r="H53" s="99">
        <v>0.7</v>
      </c>
      <c r="I53" s="99"/>
      <c r="J53" s="99">
        <v>1149.5</v>
      </c>
      <c r="K53" s="99"/>
      <c r="L53" s="99"/>
      <c r="M53" s="99"/>
      <c r="N53" s="99">
        <v>2.1</v>
      </c>
      <c r="O53" s="99"/>
      <c r="P53" s="99"/>
      <c r="Q53" s="99">
        <v>129.3</v>
      </c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>
        <f t="shared" si="1"/>
        <v>1281.6</v>
      </c>
      <c r="AG53" s="99">
        <f t="shared" si="11"/>
        <v>1234.2999999999997</v>
      </c>
      <c r="AI53" s="102"/>
    </row>
    <row r="54" spans="1:35" s="101" customFormat="1" ht="15" customHeight="1">
      <c r="A54" s="97" t="s">
        <v>9</v>
      </c>
      <c r="B54" s="112">
        <f>2393.5-20-119.8</f>
        <v>2253.7</v>
      </c>
      <c r="C54" s="98">
        <v>843.7999999999993</v>
      </c>
      <c r="D54" s="99"/>
      <c r="E54" s="99"/>
      <c r="F54" s="99"/>
      <c r="G54" s="99">
        <v>185.8</v>
      </c>
      <c r="H54" s="99">
        <v>10</v>
      </c>
      <c r="I54" s="99"/>
      <c r="J54" s="99">
        <v>194.2</v>
      </c>
      <c r="K54" s="99"/>
      <c r="L54" s="99">
        <v>438.5</v>
      </c>
      <c r="M54" s="99">
        <v>103.2</v>
      </c>
      <c r="N54" s="99">
        <v>2.9</v>
      </c>
      <c r="O54" s="99"/>
      <c r="P54" s="99">
        <v>164.1</v>
      </c>
      <c r="Q54" s="99">
        <v>18.2</v>
      </c>
      <c r="R54" s="99">
        <v>9.3</v>
      </c>
      <c r="S54" s="99"/>
      <c r="T54" s="99">
        <v>153.4</v>
      </c>
      <c r="U54" s="99">
        <v>826.8</v>
      </c>
      <c r="V54" s="99">
        <v>25.7</v>
      </c>
      <c r="W54" s="99">
        <f>38.5+0.2</f>
        <v>38.7</v>
      </c>
      <c r="X54" s="99">
        <v>-19.8</v>
      </c>
      <c r="Y54" s="99"/>
      <c r="Z54" s="99"/>
      <c r="AA54" s="99"/>
      <c r="AB54" s="99"/>
      <c r="AC54" s="99"/>
      <c r="AD54" s="99"/>
      <c r="AE54" s="99"/>
      <c r="AF54" s="99">
        <f t="shared" si="1"/>
        <v>2150.9999999999995</v>
      </c>
      <c r="AG54" s="99">
        <f t="shared" si="11"/>
        <v>946.4999999999995</v>
      </c>
      <c r="AH54" s="102"/>
      <c r="AI54" s="102"/>
    </row>
    <row r="55" spans="1:35" s="101" customFormat="1" ht="15.75">
      <c r="A55" s="103" t="s">
        <v>5</v>
      </c>
      <c r="B55" s="98">
        <v>1199.2</v>
      </c>
      <c r="C55" s="98">
        <v>230.39999999999986</v>
      </c>
      <c r="D55" s="99"/>
      <c r="E55" s="99"/>
      <c r="F55" s="99"/>
      <c r="G55" s="99"/>
      <c r="H55" s="99"/>
      <c r="I55" s="99"/>
      <c r="J55" s="99"/>
      <c r="K55" s="99"/>
      <c r="L55" s="99">
        <v>384.9</v>
      </c>
      <c r="M55" s="99">
        <v>103.2</v>
      </c>
      <c r="N55" s="99"/>
      <c r="O55" s="99"/>
      <c r="P55" s="99">
        <v>27.1</v>
      </c>
      <c r="Q55" s="99"/>
      <c r="R55" s="99"/>
      <c r="S55" s="99"/>
      <c r="T55" s="99">
        <v>151.5</v>
      </c>
      <c r="U55" s="99">
        <v>461.6</v>
      </c>
      <c r="V55" s="99"/>
      <c r="W55" s="99">
        <f>16.4-0.5</f>
        <v>15.899999999999999</v>
      </c>
      <c r="X55" s="99"/>
      <c r="Y55" s="99"/>
      <c r="Z55" s="99"/>
      <c r="AA55" s="99"/>
      <c r="AB55" s="99"/>
      <c r="AC55" s="99"/>
      <c r="AD55" s="99"/>
      <c r="AE55" s="99"/>
      <c r="AF55" s="99">
        <f t="shared" si="1"/>
        <v>1144.2</v>
      </c>
      <c r="AG55" s="99">
        <f t="shared" si="11"/>
        <v>285.39999999999986</v>
      </c>
      <c r="AH55" s="102"/>
      <c r="AI55" s="102"/>
    </row>
    <row r="56" spans="1:35" s="101" customFormat="1" ht="15" customHeight="1">
      <c r="A56" s="103" t="s">
        <v>1</v>
      </c>
      <c r="B56" s="98">
        <f>3+1.9</f>
        <v>4.9</v>
      </c>
      <c r="C56" s="98">
        <v>0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>
        <v>3</v>
      </c>
      <c r="R56" s="99"/>
      <c r="S56" s="99"/>
      <c r="T56" s="99">
        <v>1.9</v>
      </c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>
        <f t="shared" si="1"/>
        <v>4.9</v>
      </c>
      <c r="AG56" s="99">
        <f t="shared" si="11"/>
        <v>0</v>
      </c>
      <c r="AH56" s="102"/>
      <c r="AI56" s="102"/>
    </row>
    <row r="57" spans="1:35" s="101" customFormat="1" ht="15.75">
      <c r="A57" s="103" t="s">
        <v>2</v>
      </c>
      <c r="B57" s="104">
        <v>265.2</v>
      </c>
      <c r="C57" s="98">
        <v>406.1</v>
      </c>
      <c r="D57" s="99"/>
      <c r="E57" s="99"/>
      <c r="F57" s="99"/>
      <c r="G57" s="99"/>
      <c r="H57" s="99"/>
      <c r="I57" s="99"/>
      <c r="J57" s="99">
        <v>6.6</v>
      </c>
      <c r="K57" s="99"/>
      <c r="L57" s="99">
        <v>52.2</v>
      </c>
      <c r="M57" s="99"/>
      <c r="N57" s="99"/>
      <c r="O57" s="99"/>
      <c r="P57" s="99"/>
      <c r="Q57" s="99"/>
      <c r="R57" s="99"/>
      <c r="S57" s="99"/>
      <c r="T57" s="99"/>
      <c r="U57" s="99">
        <v>342.8</v>
      </c>
      <c r="V57" s="99">
        <f>0.4+3.3</f>
        <v>3.6999999999999997</v>
      </c>
      <c r="W57" s="99"/>
      <c r="X57" s="99"/>
      <c r="Y57" s="99"/>
      <c r="Z57" s="99"/>
      <c r="AA57" s="99"/>
      <c r="AB57" s="99"/>
      <c r="AC57" s="99"/>
      <c r="AD57" s="99"/>
      <c r="AE57" s="99"/>
      <c r="AF57" s="99">
        <f t="shared" si="1"/>
        <v>405.3</v>
      </c>
      <c r="AG57" s="99">
        <f t="shared" si="11"/>
        <v>265.99999999999994</v>
      </c>
      <c r="AI57" s="102"/>
    </row>
    <row r="58" spans="1:35" s="101" customFormat="1" ht="15.75">
      <c r="A58" s="103" t="s">
        <v>16</v>
      </c>
      <c r="B58" s="104">
        <v>17</v>
      </c>
      <c r="C58" s="98">
        <v>8.699999999999996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>
        <f t="shared" si="1"/>
        <v>0</v>
      </c>
      <c r="AG58" s="99">
        <f t="shared" si="11"/>
        <v>25.699999999999996</v>
      </c>
      <c r="AI58" s="102"/>
    </row>
    <row r="59" spans="1:35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>
        <f t="shared" si="1"/>
        <v>0</v>
      </c>
      <c r="AG59" s="99">
        <f t="shared" si="11"/>
        <v>0</v>
      </c>
      <c r="AI59" s="102"/>
    </row>
    <row r="60" spans="1:35" s="101" customFormat="1" ht="15.75">
      <c r="A60" s="103" t="s">
        <v>23</v>
      </c>
      <c r="B60" s="98">
        <f aca="true" t="shared" si="12" ref="B60:AD60">B54-B55-B57-B59-B56-B58</f>
        <v>767.3999999999997</v>
      </c>
      <c r="C60" s="98">
        <v>198.5999999999994</v>
      </c>
      <c r="D60" s="99">
        <f t="shared" si="12"/>
        <v>0</v>
      </c>
      <c r="E60" s="99">
        <f t="shared" si="12"/>
        <v>0</v>
      </c>
      <c r="F60" s="99">
        <f t="shared" si="12"/>
        <v>0</v>
      </c>
      <c r="G60" s="99">
        <f t="shared" si="12"/>
        <v>185.8</v>
      </c>
      <c r="H60" s="99">
        <f t="shared" si="12"/>
        <v>10</v>
      </c>
      <c r="I60" s="99">
        <f t="shared" si="12"/>
        <v>0</v>
      </c>
      <c r="J60" s="99">
        <f t="shared" si="12"/>
        <v>187.6</v>
      </c>
      <c r="K60" s="99">
        <f t="shared" si="12"/>
        <v>0</v>
      </c>
      <c r="L60" s="99">
        <f t="shared" si="12"/>
        <v>1.40000000000002</v>
      </c>
      <c r="M60" s="99">
        <f t="shared" si="12"/>
        <v>0</v>
      </c>
      <c r="N60" s="99">
        <f t="shared" si="12"/>
        <v>2.9</v>
      </c>
      <c r="O60" s="99">
        <f t="shared" si="12"/>
        <v>0</v>
      </c>
      <c r="P60" s="99">
        <f t="shared" si="12"/>
        <v>137</v>
      </c>
      <c r="Q60" s="99">
        <f t="shared" si="12"/>
        <v>15.2</v>
      </c>
      <c r="R60" s="99">
        <f t="shared" si="12"/>
        <v>9.3</v>
      </c>
      <c r="S60" s="99">
        <f t="shared" si="12"/>
        <v>0</v>
      </c>
      <c r="T60" s="99">
        <f t="shared" si="12"/>
        <v>5.773159728050814E-15</v>
      </c>
      <c r="U60" s="99">
        <f t="shared" si="12"/>
        <v>22.39999999999992</v>
      </c>
      <c r="V60" s="99">
        <f t="shared" si="12"/>
        <v>22</v>
      </c>
      <c r="W60" s="99">
        <f t="shared" si="12"/>
        <v>22.800000000000004</v>
      </c>
      <c r="X60" s="99">
        <f t="shared" si="12"/>
        <v>-19.8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/>
      <c r="AF60" s="99">
        <f>AF54-AF55-AF57-AF59-AF56-AF58</f>
        <v>596.5999999999996</v>
      </c>
      <c r="AG60" s="99">
        <f>AG54-AG55-AG57-AG59-AG56-AG58</f>
        <v>369.39999999999975</v>
      </c>
      <c r="AI60" s="102"/>
    </row>
    <row r="61" spans="1:35" s="101" customFormat="1" ht="15" customHeight="1">
      <c r="A61" s="97" t="s">
        <v>10</v>
      </c>
      <c r="B61" s="98">
        <v>92</v>
      </c>
      <c r="C61" s="98">
        <v>37.099999999999994</v>
      </c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>
        <v>21</v>
      </c>
      <c r="O61" s="99"/>
      <c r="P61" s="99">
        <v>7.7</v>
      </c>
      <c r="Q61" s="99">
        <v>15.6</v>
      </c>
      <c r="R61" s="99"/>
      <c r="S61" s="99"/>
      <c r="T61" s="99">
        <v>10</v>
      </c>
      <c r="U61" s="99"/>
      <c r="V61" s="99">
        <v>15</v>
      </c>
      <c r="W61" s="99"/>
      <c r="X61" s="99"/>
      <c r="Y61" s="99"/>
      <c r="Z61" s="99"/>
      <c r="AA61" s="99"/>
      <c r="AB61" s="99"/>
      <c r="AC61" s="99"/>
      <c r="AD61" s="99"/>
      <c r="AE61" s="99"/>
      <c r="AF61" s="99">
        <f aca="true" t="shared" si="13" ref="AF61:AF92">SUM(D61:AD61)</f>
        <v>69.3</v>
      </c>
      <c r="AG61" s="99">
        <f aca="true" t="shared" si="14" ref="AG61:AG67">B61+C61-AF61</f>
        <v>59.8</v>
      </c>
      <c r="AI61" s="102"/>
    </row>
    <row r="62" spans="1:35" s="101" customFormat="1" ht="15" customHeight="1">
      <c r="A62" s="97" t="s">
        <v>11</v>
      </c>
      <c r="B62" s="98">
        <f>5806.6-33</f>
        <v>5773.6</v>
      </c>
      <c r="C62" s="98">
        <v>3509</v>
      </c>
      <c r="D62" s="99"/>
      <c r="E62" s="99"/>
      <c r="F62" s="99">
        <v>98.2</v>
      </c>
      <c r="G62" s="99"/>
      <c r="H62" s="99"/>
      <c r="I62" s="99"/>
      <c r="J62" s="99">
        <v>182.6</v>
      </c>
      <c r="K62" s="99">
        <v>0.5</v>
      </c>
      <c r="L62" s="99">
        <v>835.2</v>
      </c>
      <c r="M62" s="99">
        <v>180.6</v>
      </c>
      <c r="N62" s="99">
        <v>94</v>
      </c>
      <c r="O62" s="99"/>
      <c r="P62" s="99"/>
      <c r="Q62" s="99"/>
      <c r="R62" s="99">
        <v>438</v>
      </c>
      <c r="S62" s="99"/>
      <c r="T62" s="99">
        <v>427.3</v>
      </c>
      <c r="U62" s="99">
        <v>1076.3</v>
      </c>
      <c r="V62" s="99">
        <v>1039.4</v>
      </c>
      <c r="W62" s="99">
        <v>79.1</v>
      </c>
      <c r="X62" s="99"/>
      <c r="Y62" s="99"/>
      <c r="Z62" s="99"/>
      <c r="AA62" s="99"/>
      <c r="AB62" s="99"/>
      <c r="AC62" s="99"/>
      <c r="AD62" s="99"/>
      <c r="AE62" s="99"/>
      <c r="AF62" s="99">
        <f t="shared" si="13"/>
        <v>4451.200000000001</v>
      </c>
      <c r="AG62" s="99">
        <f t="shared" si="14"/>
        <v>4831.4</v>
      </c>
      <c r="AI62" s="102"/>
    </row>
    <row r="63" spans="1:35" s="101" customFormat="1" ht="15.75">
      <c r="A63" s="103" t="s">
        <v>5</v>
      </c>
      <c r="B63" s="98">
        <v>2436.6</v>
      </c>
      <c r="C63" s="98">
        <v>704.3000000000002</v>
      </c>
      <c r="D63" s="99"/>
      <c r="E63" s="99"/>
      <c r="F63" s="99"/>
      <c r="G63" s="99"/>
      <c r="H63" s="99"/>
      <c r="I63" s="99"/>
      <c r="J63" s="99"/>
      <c r="K63" s="99"/>
      <c r="L63" s="99">
        <v>835.2</v>
      </c>
      <c r="M63" s="99"/>
      <c r="N63" s="99"/>
      <c r="O63" s="99"/>
      <c r="P63" s="99"/>
      <c r="Q63" s="99"/>
      <c r="R63" s="99"/>
      <c r="S63" s="99"/>
      <c r="T63" s="99">
        <v>313.7</v>
      </c>
      <c r="U63" s="99">
        <v>945</v>
      </c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>
        <f t="shared" si="13"/>
        <v>2093.9</v>
      </c>
      <c r="AG63" s="99">
        <f t="shared" si="14"/>
        <v>1047</v>
      </c>
      <c r="AH63" s="123"/>
      <c r="AI63" s="102"/>
    </row>
    <row r="64" spans="1:35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>
        <f t="shared" si="13"/>
        <v>0</v>
      </c>
      <c r="AG64" s="99">
        <f t="shared" si="14"/>
        <v>0</v>
      </c>
      <c r="AH64" s="102"/>
      <c r="AI64" s="102"/>
    </row>
    <row r="65" spans="1:35" s="101" customFormat="1" ht="15.75">
      <c r="A65" s="103" t="s">
        <v>1</v>
      </c>
      <c r="B65" s="98">
        <v>539.2</v>
      </c>
      <c r="C65" s="98">
        <v>496.9000000000001</v>
      </c>
      <c r="D65" s="99"/>
      <c r="E65" s="99"/>
      <c r="F65" s="99"/>
      <c r="G65" s="99"/>
      <c r="H65" s="99"/>
      <c r="I65" s="99"/>
      <c r="J65" s="99">
        <v>105</v>
      </c>
      <c r="K65" s="99"/>
      <c r="L65" s="99"/>
      <c r="M65" s="99"/>
      <c r="N65" s="99"/>
      <c r="O65" s="99"/>
      <c r="P65" s="99"/>
      <c r="Q65" s="99"/>
      <c r="R65" s="99">
        <v>116.2</v>
      </c>
      <c r="S65" s="99"/>
      <c r="T65" s="99"/>
      <c r="U65" s="99"/>
      <c r="V65" s="99">
        <v>245</v>
      </c>
      <c r="W65" s="99"/>
      <c r="X65" s="99"/>
      <c r="Y65" s="99"/>
      <c r="Z65" s="99"/>
      <c r="AA65" s="99"/>
      <c r="AB65" s="99"/>
      <c r="AC65" s="99"/>
      <c r="AD65" s="99"/>
      <c r="AE65" s="99"/>
      <c r="AF65" s="99">
        <f t="shared" si="13"/>
        <v>466.2</v>
      </c>
      <c r="AG65" s="99">
        <f t="shared" si="14"/>
        <v>569.9000000000001</v>
      </c>
      <c r="AH65" s="102"/>
      <c r="AI65" s="102"/>
    </row>
    <row r="66" spans="1:35" s="101" customFormat="1" ht="15.75">
      <c r="A66" s="103" t="s">
        <v>2</v>
      </c>
      <c r="B66" s="98">
        <v>149.3</v>
      </c>
      <c r="C66" s="98">
        <v>114.80000000000007</v>
      </c>
      <c r="D66" s="99"/>
      <c r="E66" s="99"/>
      <c r="F66" s="99"/>
      <c r="G66" s="99"/>
      <c r="H66" s="99"/>
      <c r="I66" s="99"/>
      <c r="J66" s="99">
        <v>8.8</v>
      </c>
      <c r="K66" s="99">
        <v>0.5</v>
      </c>
      <c r="L66" s="99"/>
      <c r="M66" s="99"/>
      <c r="N66" s="99">
        <v>18.5</v>
      </c>
      <c r="O66" s="99"/>
      <c r="P66" s="99"/>
      <c r="Q66" s="99"/>
      <c r="R66" s="99">
        <v>22.5</v>
      </c>
      <c r="S66" s="99"/>
      <c r="T66" s="99">
        <v>0.1</v>
      </c>
      <c r="U66" s="99"/>
      <c r="V66" s="99">
        <v>5.1</v>
      </c>
      <c r="W66" s="99">
        <v>69.1</v>
      </c>
      <c r="X66" s="99"/>
      <c r="Y66" s="99"/>
      <c r="Z66" s="99"/>
      <c r="AA66" s="99"/>
      <c r="AB66" s="99"/>
      <c r="AC66" s="99"/>
      <c r="AD66" s="99"/>
      <c r="AE66" s="99"/>
      <c r="AF66" s="99">
        <f t="shared" si="13"/>
        <v>124.6</v>
      </c>
      <c r="AG66" s="99">
        <f t="shared" si="14"/>
        <v>139.50000000000009</v>
      </c>
      <c r="AI66" s="102"/>
    </row>
    <row r="67" spans="1:35" s="101" customFormat="1" ht="15.75">
      <c r="A67" s="103" t="s">
        <v>16</v>
      </c>
      <c r="B67" s="98">
        <v>550</v>
      </c>
      <c r="C67" s="98">
        <v>437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>
        <v>245</v>
      </c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>
        <f t="shared" si="13"/>
        <v>245</v>
      </c>
      <c r="AG67" s="99">
        <f t="shared" si="14"/>
        <v>742</v>
      </c>
      <c r="AI67" s="102"/>
    </row>
    <row r="68" spans="1:35" s="101" customFormat="1" ht="15.75">
      <c r="A68" s="103" t="s">
        <v>23</v>
      </c>
      <c r="B68" s="98">
        <f aca="true" t="shared" si="15" ref="B68:AD68">B62-B63-B66-B67-B65-B64</f>
        <v>2098.5</v>
      </c>
      <c r="C68" s="98">
        <v>1755.9999999999995</v>
      </c>
      <c r="D68" s="99">
        <f t="shared" si="15"/>
        <v>0</v>
      </c>
      <c r="E68" s="99">
        <f t="shared" si="15"/>
        <v>0</v>
      </c>
      <c r="F68" s="99">
        <f t="shared" si="15"/>
        <v>98.2</v>
      </c>
      <c r="G68" s="99">
        <f t="shared" si="15"/>
        <v>0</v>
      </c>
      <c r="H68" s="99">
        <f t="shared" si="15"/>
        <v>0</v>
      </c>
      <c r="I68" s="99">
        <f t="shared" si="15"/>
        <v>0</v>
      </c>
      <c r="J68" s="99">
        <f t="shared" si="15"/>
        <v>68.79999999999998</v>
      </c>
      <c r="K68" s="99">
        <f t="shared" si="15"/>
        <v>0</v>
      </c>
      <c r="L68" s="99">
        <f t="shared" si="15"/>
        <v>0</v>
      </c>
      <c r="M68" s="99">
        <f t="shared" si="15"/>
        <v>180.6</v>
      </c>
      <c r="N68" s="99">
        <f t="shared" si="15"/>
        <v>75.5</v>
      </c>
      <c r="O68" s="99">
        <f t="shared" si="15"/>
        <v>0</v>
      </c>
      <c r="P68" s="99">
        <f t="shared" si="15"/>
        <v>0</v>
      </c>
      <c r="Q68" s="99">
        <f t="shared" si="15"/>
        <v>0</v>
      </c>
      <c r="R68" s="99">
        <f t="shared" si="15"/>
        <v>54.3</v>
      </c>
      <c r="S68" s="99">
        <f t="shared" si="15"/>
        <v>0</v>
      </c>
      <c r="T68" s="99">
        <f t="shared" si="15"/>
        <v>113.50000000000003</v>
      </c>
      <c r="U68" s="99">
        <f t="shared" si="15"/>
        <v>131.29999999999995</v>
      </c>
      <c r="V68" s="99">
        <f t="shared" si="15"/>
        <v>789.3000000000002</v>
      </c>
      <c r="W68" s="99">
        <f t="shared" si="15"/>
        <v>10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/>
      <c r="AF68" s="99">
        <f t="shared" si="13"/>
        <v>1521.5000000000002</v>
      </c>
      <c r="AG68" s="99">
        <f>AG62-AG63-AG66-AG67-AG65-AG64</f>
        <v>2332.9999999999995</v>
      </c>
      <c r="AI68" s="102"/>
    </row>
    <row r="69" spans="1:35" s="101" customFormat="1" ht="31.5">
      <c r="A69" s="97" t="s">
        <v>45</v>
      </c>
      <c r="B69" s="98">
        <v>2336.1</v>
      </c>
      <c r="C69" s="98">
        <v>329.20000000000005</v>
      </c>
      <c r="D69" s="99"/>
      <c r="E69" s="99"/>
      <c r="F69" s="99"/>
      <c r="G69" s="99">
        <v>994.8</v>
      </c>
      <c r="H69" s="99"/>
      <c r="I69" s="99"/>
      <c r="J69" s="99"/>
      <c r="K69" s="99"/>
      <c r="L69" s="99"/>
      <c r="M69" s="99"/>
      <c r="N69" s="99"/>
      <c r="O69" s="99"/>
      <c r="P69" s="99"/>
      <c r="Q69" s="99">
        <f>887.7</f>
        <v>887.7</v>
      </c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>
        <f t="shared" si="13"/>
        <v>1882.5</v>
      </c>
      <c r="AG69" s="117">
        <f aca="true" t="shared" si="16" ref="AG69:AG92">B69+C69-AF69</f>
        <v>782.8000000000002</v>
      </c>
      <c r="AI69" s="102"/>
    </row>
    <row r="70" spans="1:35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>
        <f t="shared" si="13"/>
        <v>0</v>
      </c>
      <c r="AG70" s="117">
        <f t="shared" si="16"/>
        <v>0</v>
      </c>
      <c r="AI70" s="102"/>
    </row>
    <row r="71" spans="1:50" s="101" customFormat="1" ht="31.5">
      <c r="A71" s="97" t="s">
        <v>46</v>
      </c>
      <c r="B71" s="98">
        <f>85.6+2125</f>
        <v>2210.6</v>
      </c>
      <c r="C71" s="118">
        <v>450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>
        <v>430.7</v>
      </c>
      <c r="V71" s="113">
        <v>600.4</v>
      </c>
      <c r="W71" s="113"/>
      <c r="X71" s="113"/>
      <c r="Y71" s="113"/>
      <c r="Z71" s="113"/>
      <c r="AA71" s="113"/>
      <c r="AB71" s="113"/>
      <c r="AC71" s="113"/>
      <c r="AD71" s="113"/>
      <c r="AE71" s="113"/>
      <c r="AF71" s="99">
        <f t="shared" si="13"/>
        <v>1031.1</v>
      </c>
      <c r="AG71" s="117">
        <f t="shared" si="16"/>
        <v>1629.5</v>
      </c>
      <c r="AH71" s="119"/>
      <c r="AI71" s="102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</row>
    <row r="72" spans="1:35" s="101" customFormat="1" ht="15" customHeight="1">
      <c r="A72" s="97" t="s">
        <v>47</v>
      </c>
      <c r="B72" s="112">
        <f>1918.5-22.7-7.6-100-50-97.7</f>
        <v>1640.5</v>
      </c>
      <c r="C72" s="98">
        <v>2213.2999999999997</v>
      </c>
      <c r="D72" s="99"/>
      <c r="E72" s="99">
        <v>209.6</v>
      </c>
      <c r="F72" s="99">
        <v>97</v>
      </c>
      <c r="G72" s="99">
        <v>18.7</v>
      </c>
      <c r="H72" s="99"/>
      <c r="I72" s="99"/>
      <c r="J72" s="99">
        <v>14.1</v>
      </c>
      <c r="K72" s="99">
        <v>18.1</v>
      </c>
      <c r="L72" s="99">
        <v>187.2</v>
      </c>
      <c r="M72" s="99">
        <v>14.7</v>
      </c>
      <c r="N72" s="99">
        <v>217.2</v>
      </c>
      <c r="O72" s="99">
        <v>174</v>
      </c>
      <c r="P72" s="99">
        <v>148.3</v>
      </c>
      <c r="Q72" s="99">
        <v>12.3</v>
      </c>
      <c r="R72" s="99">
        <v>23.4</v>
      </c>
      <c r="S72" s="99">
        <v>8.2</v>
      </c>
      <c r="T72" s="99">
        <v>431</v>
      </c>
      <c r="U72" s="99">
        <v>93.7</v>
      </c>
      <c r="V72" s="99">
        <v>8.8</v>
      </c>
      <c r="W72" s="99">
        <v>82</v>
      </c>
      <c r="X72" s="99"/>
      <c r="Y72" s="99"/>
      <c r="Z72" s="99"/>
      <c r="AA72" s="99"/>
      <c r="AB72" s="99"/>
      <c r="AC72" s="99"/>
      <c r="AD72" s="99"/>
      <c r="AE72" s="99"/>
      <c r="AF72" s="99">
        <f t="shared" si="13"/>
        <v>1758.3000000000002</v>
      </c>
      <c r="AG72" s="117">
        <f t="shared" si="16"/>
        <v>2095.4999999999995</v>
      </c>
      <c r="AI72" s="102"/>
    </row>
    <row r="73" spans="1:35" s="101" customFormat="1" ht="15" customHeight="1">
      <c r="A73" s="103" t="s">
        <v>5</v>
      </c>
      <c r="B73" s="98">
        <v>80.5</v>
      </c>
      <c r="C73" s="98">
        <v>0.09999999999999432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>
        <v>0.1</v>
      </c>
      <c r="W73" s="99">
        <v>80.5</v>
      </c>
      <c r="X73" s="99"/>
      <c r="Y73" s="99"/>
      <c r="Z73" s="99"/>
      <c r="AA73" s="99"/>
      <c r="AB73" s="99"/>
      <c r="AC73" s="99"/>
      <c r="AD73" s="99"/>
      <c r="AE73" s="99"/>
      <c r="AF73" s="99">
        <f t="shared" si="13"/>
        <v>80.6</v>
      </c>
      <c r="AG73" s="117">
        <f t="shared" si="16"/>
        <v>0</v>
      </c>
      <c r="AI73" s="102"/>
    </row>
    <row r="74" spans="1:35" s="101" customFormat="1" ht="15" customHeight="1">
      <c r="A74" s="103" t="s">
        <v>2</v>
      </c>
      <c r="B74" s="98">
        <f>41+308.4+0.1</f>
        <v>349.5</v>
      </c>
      <c r="C74" s="98">
        <v>332.5999999999999</v>
      </c>
      <c r="D74" s="99"/>
      <c r="E74" s="99">
        <v>6.2</v>
      </c>
      <c r="F74" s="99">
        <v>38.5</v>
      </c>
      <c r="G74" s="99"/>
      <c r="H74" s="99"/>
      <c r="I74" s="99"/>
      <c r="J74" s="99"/>
      <c r="K74" s="99"/>
      <c r="L74" s="99">
        <f>59+95</f>
        <v>154</v>
      </c>
      <c r="M74" s="99">
        <v>14.7</v>
      </c>
      <c r="N74" s="99">
        <f>0.7+0.2</f>
        <v>0.8999999999999999</v>
      </c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>
        <f t="shared" si="13"/>
        <v>214.29999999999998</v>
      </c>
      <c r="AG74" s="117">
        <f t="shared" si="16"/>
        <v>467.79999999999995</v>
      </c>
      <c r="AI74" s="102"/>
    </row>
    <row r="75" spans="1:35" s="101" customFormat="1" ht="15" customHeight="1">
      <c r="A75" s="103" t="s">
        <v>16</v>
      </c>
      <c r="B75" s="98">
        <f>11.6+10+23.4</f>
        <v>45</v>
      </c>
      <c r="C75" s="98">
        <v>17.8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>
        <v>23.3</v>
      </c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>
        <f t="shared" si="13"/>
        <v>23.3</v>
      </c>
      <c r="AG75" s="117">
        <f t="shared" si="16"/>
        <v>39.5</v>
      </c>
      <c r="AI75" s="102"/>
    </row>
    <row r="76" spans="1:35" s="121" customFormat="1" ht="15.75">
      <c r="A76" s="120" t="s">
        <v>48</v>
      </c>
      <c r="B76" s="98">
        <f>185.5</f>
        <v>185.5</v>
      </c>
      <c r="C76" s="98">
        <v>30.599999999999994</v>
      </c>
      <c r="D76" s="99"/>
      <c r="E76" s="113"/>
      <c r="F76" s="113"/>
      <c r="G76" s="113">
        <v>13.9</v>
      </c>
      <c r="H76" s="113"/>
      <c r="I76" s="113"/>
      <c r="J76" s="113"/>
      <c r="K76" s="113"/>
      <c r="L76" s="113"/>
      <c r="M76" s="113">
        <v>60.1</v>
      </c>
      <c r="N76" s="113"/>
      <c r="O76" s="113"/>
      <c r="P76" s="113"/>
      <c r="Q76" s="113"/>
      <c r="R76" s="113"/>
      <c r="S76" s="113"/>
      <c r="T76" s="113"/>
      <c r="U76" s="113"/>
      <c r="V76" s="113">
        <v>109.3</v>
      </c>
      <c r="W76" s="113"/>
      <c r="X76" s="113"/>
      <c r="Y76" s="113"/>
      <c r="Z76" s="113"/>
      <c r="AA76" s="113"/>
      <c r="AB76" s="113"/>
      <c r="AC76" s="113"/>
      <c r="AD76" s="113"/>
      <c r="AE76" s="113"/>
      <c r="AF76" s="99">
        <f t="shared" si="13"/>
        <v>183.3</v>
      </c>
      <c r="AG76" s="117">
        <f t="shared" si="16"/>
        <v>32.79999999999998</v>
      </c>
      <c r="AI76" s="102"/>
    </row>
    <row r="77" spans="1:35" s="121" customFormat="1" ht="15.75">
      <c r="A77" s="103" t="s">
        <v>5</v>
      </c>
      <c r="B77" s="98">
        <v>132.5</v>
      </c>
      <c r="C77" s="98">
        <v>3.8000000000000114</v>
      </c>
      <c r="D77" s="99"/>
      <c r="E77" s="113"/>
      <c r="F77" s="113"/>
      <c r="G77" s="113">
        <v>5.6</v>
      </c>
      <c r="H77" s="113"/>
      <c r="I77" s="113"/>
      <c r="J77" s="113"/>
      <c r="K77" s="113"/>
      <c r="L77" s="113"/>
      <c r="M77" s="113">
        <v>57.6</v>
      </c>
      <c r="N77" s="113"/>
      <c r="O77" s="113"/>
      <c r="P77" s="113"/>
      <c r="Q77" s="113"/>
      <c r="R77" s="113"/>
      <c r="S77" s="113"/>
      <c r="T77" s="113"/>
      <c r="U77" s="113"/>
      <c r="V77" s="113">
        <f>68.8-2.2</f>
        <v>66.6</v>
      </c>
      <c r="W77" s="113"/>
      <c r="X77" s="113"/>
      <c r="Y77" s="113"/>
      <c r="Z77" s="113"/>
      <c r="AA77" s="113"/>
      <c r="AB77" s="113"/>
      <c r="AC77" s="113"/>
      <c r="AD77" s="113"/>
      <c r="AE77" s="113"/>
      <c r="AF77" s="99">
        <f t="shared" si="13"/>
        <v>129.8</v>
      </c>
      <c r="AG77" s="117">
        <f t="shared" si="16"/>
        <v>6.5</v>
      </c>
      <c r="AI77" s="102"/>
    </row>
    <row r="78" spans="1:35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99">
        <f t="shared" si="13"/>
        <v>0</v>
      </c>
      <c r="AG78" s="117">
        <f t="shared" si="16"/>
        <v>0</v>
      </c>
      <c r="AI78" s="102"/>
    </row>
    <row r="79" spans="1:35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99">
        <f t="shared" si="13"/>
        <v>0</v>
      </c>
      <c r="AG79" s="117">
        <f t="shared" si="16"/>
        <v>0</v>
      </c>
      <c r="AI79" s="102"/>
    </row>
    <row r="80" spans="1:35" s="121" customFormat="1" ht="15.75">
      <c r="A80" s="103" t="s">
        <v>2</v>
      </c>
      <c r="B80" s="98">
        <v>2.1</v>
      </c>
      <c r="C80" s="98">
        <v>8.500000000000002</v>
      </c>
      <c r="D80" s="99"/>
      <c r="E80" s="113"/>
      <c r="F80" s="113"/>
      <c r="G80" s="113">
        <v>6</v>
      </c>
      <c r="H80" s="113"/>
      <c r="I80" s="113"/>
      <c r="J80" s="113"/>
      <c r="K80" s="113"/>
      <c r="L80" s="113"/>
      <c r="M80" s="113">
        <v>0.1</v>
      </c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99">
        <f t="shared" si="13"/>
        <v>6.1</v>
      </c>
      <c r="AG80" s="117">
        <f t="shared" si="16"/>
        <v>4.500000000000002</v>
      </c>
      <c r="AI80" s="102"/>
    </row>
    <row r="81" spans="1:35" s="121" customFormat="1" ht="15.75">
      <c r="A81" s="120" t="s">
        <v>49</v>
      </c>
      <c r="B81" s="98">
        <v>0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99">
        <f t="shared" si="13"/>
        <v>0</v>
      </c>
      <c r="AG81" s="117">
        <f t="shared" si="16"/>
        <v>0</v>
      </c>
      <c r="AI81" s="102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01" customFormat="1" ht="15.75">
      <c r="A89" s="97" t="s">
        <v>50</v>
      </c>
      <c r="B89" s="98">
        <f>17339.2+3000-1991</f>
        <v>18348.2</v>
      </c>
      <c r="C89" s="98">
        <v>2162.000000000001</v>
      </c>
      <c r="D89" s="99"/>
      <c r="E89" s="99">
        <v>60.3</v>
      </c>
      <c r="F89" s="99"/>
      <c r="G89" s="99">
        <v>794.6</v>
      </c>
      <c r="H89" s="99">
        <v>1729.3</v>
      </c>
      <c r="I89" s="99"/>
      <c r="J89" s="99"/>
      <c r="K89" s="99">
        <v>2357</v>
      </c>
      <c r="L89" s="99">
        <v>1916.4</v>
      </c>
      <c r="M89" s="99">
        <v>610.8</v>
      </c>
      <c r="N89" s="99">
        <v>432.8</v>
      </c>
      <c r="O89" s="99"/>
      <c r="P89" s="99"/>
      <c r="Q89" s="99">
        <v>777.3</v>
      </c>
      <c r="R89" s="99">
        <v>690.7</v>
      </c>
      <c r="S89" s="99">
        <v>110.8</v>
      </c>
      <c r="T89" s="99"/>
      <c r="U89" s="99"/>
      <c r="V89" s="99">
        <v>5866.7</v>
      </c>
      <c r="W89" s="99">
        <f>417-0.4</f>
        <v>416.6</v>
      </c>
      <c r="X89" s="99"/>
      <c r="Y89" s="99"/>
      <c r="Z89" s="99"/>
      <c r="AA89" s="99"/>
      <c r="AB89" s="99"/>
      <c r="AC89" s="99"/>
      <c r="AD89" s="99"/>
      <c r="AE89" s="99"/>
      <c r="AF89" s="99">
        <f t="shared" si="13"/>
        <v>15763.300000000001</v>
      </c>
      <c r="AG89" s="99">
        <f t="shared" si="16"/>
        <v>4746.9</v>
      </c>
      <c r="AH89" s="121"/>
      <c r="AI89" s="102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P5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90" sqref="T9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ht="21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34" ht="22.5" customHeight="1">
      <c r="A2" s="126" t="s">
        <v>60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2:34" ht="17.25" customHeight="1">
      <c r="B3" s="15"/>
      <c r="C3" s="15"/>
      <c r="D3" s="15"/>
      <c r="AH3" s="13" t="s">
        <v>17</v>
      </c>
    </row>
    <row r="4" spans="1:34" ht="63">
      <c r="A4" s="34" t="s">
        <v>26</v>
      </c>
      <c r="B4" s="9" t="s">
        <v>61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8">
        <v>10</v>
      </c>
      <c r="K4" s="19">
        <v>11</v>
      </c>
      <c r="L4" s="8">
        <v>13</v>
      </c>
      <c r="M4" s="8">
        <v>14</v>
      </c>
      <c r="N4" s="19">
        <v>15</v>
      </c>
      <c r="O4" s="8">
        <v>16</v>
      </c>
      <c r="P4" s="8">
        <v>17</v>
      </c>
      <c r="Q4" s="8">
        <v>20</v>
      </c>
      <c r="R4" s="8">
        <v>21</v>
      </c>
      <c r="S4" s="8">
        <v>22</v>
      </c>
      <c r="T4" s="19">
        <v>23</v>
      </c>
      <c r="U4" s="19">
        <v>24</v>
      </c>
      <c r="V4" s="8">
        <v>27</v>
      </c>
      <c r="W4" s="8">
        <v>28</v>
      </c>
      <c r="X4" s="8">
        <v>29</v>
      </c>
      <c r="Y4" s="19">
        <v>30</v>
      </c>
      <c r="Z4" s="19">
        <v>31</v>
      </c>
      <c r="AA4" s="19"/>
      <c r="AB4" s="19"/>
      <c r="AC4" s="19"/>
      <c r="AD4" s="8"/>
      <c r="AE4" s="8"/>
      <c r="AF4" s="9" t="s">
        <v>19</v>
      </c>
      <c r="AG4" s="10" t="s">
        <v>13</v>
      </c>
      <c r="AH4" s="10" t="s">
        <v>20</v>
      </c>
    </row>
    <row r="5" spans="1:34" ht="15.75" hidden="1">
      <c r="A5" s="46" t="s">
        <v>42</v>
      </c>
      <c r="B5" s="54">
        <f>SUM(D5:Z5)</f>
        <v>0</v>
      </c>
      <c r="C5" s="54"/>
      <c r="D5" s="37"/>
      <c r="E5" s="38"/>
      <c r="F5" s="38"/>
      <c r="G5" s="38"/>
      <c r="H5" s="38"/>
      <c r="I5" s="38"/>
      <c r="J5" s="38"/>
      <c r="K5" s="39"/>
      <c r="L5" s="38"/>
      <c r="M5" s="38"/>
      <c r="N5" s="39"/>
      <c r="O5" s="38"/>
      <c r="P5" s="38"/>
      <c r="Q5" s="38"/>
      <c r="R5" s="38"/>
      <c r="S5" s="38"/>
      <c r="T5" s="39"/>
      <c r="U5" s="39"/>
      <c r="V5" s="38"/>
      <c r="W5" s="38"/>
      <c r="X5" s="38"/>
      <c r="Y5" s="39"/>
      <c r="Z5" s="39"/>
      <c r="AA5" s="39"/>
      <c r="AB5" s="39"/>
      <c r="AC5" s="39"/>
      <c r="AD5" s="38"/>
      <c r="AE5" s="38"/>
      <c r="AF5" s="54"/>
      <c r="AG5" s="40"/>
      <c r="AH5" s="40"/>
    </row>
    <row r="6" spans="1:34" ht="15.75" hidden="1">
      <c r="A6" s="46" t="s">
        <v>33</v>
      </c>
      <c r="B6" s="33">
        <f>SUM(D6:AE6)</f>
        <v>0</v>
      </c>
      <c r="C6" s="37"/>
      <c r="D6" s="37"/>
      <c r="E6" s="38"/>
      <c r="F6" s="38"/>
      <c r="G6" s="38"/>
      <c r="H6" s="38"/>
      <c r="I6" s="38"/>
      <c r="J6" s="38"/>
      <c r="K6" s="39"/>
      <c r="L6" s="38"/>
      <c r="M6" s="38"/>
      <c r="N6" s="39"/>
      <c r="O6" s="38"/>
      <c r="P6" s="38"/>
      <c r="Q6" s="38"/>
      <c r="R6" s="38"/>
      <c r="S6" s="38"/>
      <c r="T6" s="39"/>
      <c r="U6" s="39"/>
      <c r="V6" s="38"/>
      <c r="W6" s="38"/>
      <c r="X6" s="38"/>
      <c r="Y6" s="39"/>
      <c r="Z6" s="39"/>
      <c r="AA6" s="39"/>
      <c r="AB6" s="39"/>
      <c r="AC6" s="39"/>
      <c r="AD6" s="38"/>
      <c r="AE6" s="38"/>
      <c r="AF6" s="37"/>
      <c r="AG6" s="40"/>
      <c r="AH6" s="40"/>
    </row>
    <row r="7" spans="1:34" ht="15.75">
      <c r="A7" s="46" t="s">
        <v>36</v>
      </c>
      <c r="B7" s="33">
        <f>SUM(D7:Z7)</f>
        <v>62351.9</v>
      </c>
      <c r="C7" s="86">
        <v>957.1999999999935</v>
      </c>
      <c r="D7" s="37"/>
      <c r="E7" s="38">
        <v>31175.95</v>
      </c>
      <c r="F7" s="38"/>
      <c r="G7" s="38"/>
      <c r="H7" s="96"/>
      <c r="I7" s="56"/>
      <c r="J7" s="38"/>
      <c r="K7" s="39"/>
      <c r="L7" s="38">
        <v>31175.95</v>
      </c>
      <c r="M7" s="38"/>
      <c r="N7" s="39"/>
      <c r="O7" s="38"/>
      <c r="P7" s="38"/>
      <c r="Q7" s="38"/>
      <c r="R7" s="38"/>
      <c r="S7" s="38"/>
      <c r="T7" s="39"/>
      <c r="U7" s="39"/>
      <c r="V7" s="38"/>
      <c r="W7" s="38"/>
      <c r="X7" s="38"/>
      <c r="Y7" s="39"/>
      <c r="Z7" s="39"/>
      <c r="AA7" s="39"/>
      <c r="AB7" s="39"/>
      <c r="AC7" s="39"/>
      <c r="AD7" s="38"/>
      <c r="AE7" s="38"/>
      <c r="AF7" s="54">
        <f>E7+L7-AG16-AG25</f>
        <v>40282.9</v>
      </c>
      <c r="AG7" s="54"/>
      <c r="AH7" s="40"/>
    </row>
    <row r="8" spans="1:56" ht="18" customHeight="1">
      <c r="A8" s="47" t="s">
        <v>30</v>
      </c>
      <c r="B8" s="33">
        <f>SUM(E8:AC8)</f>
        <v>130913.59999999999</v>
      </c>
      <c r="C8" s="87">
        <v>46010.17824000007</v>
      </c>
      <c r="D8" s="59"/>
      <c r="E8" s="60">
        <v>15900.1</v>
      </c>
      <c r="F8" s="61">
        <v>6112.7</v>
      </c>
      <c r="G8" s="61">
        <v>6641.2</v>
      </c>
      <c r="H8" s="61">
        <v>8176.1</v>
      </c>
      <c r="I8" s="61">
        <v>16323.8</v>
      </c>
      <c r="J8" s="61">
        <v>9464.4</v>
      </c>
      <c r="K8" s="61">
        <v>4428.9</v>
      </c>
      <c r="L8" s="62">
        <v>1596.2</v>
      </c>
      <c r="M8" s="61">
        <v>5121.3</v>
      </c>
      <c r="N8" s="62">
        <v>7635.1</v>
      </c>
      <c r="O8" s="61">
        <v>12409.9</v>
      </c>
      <c r="P8" s="61">
        <v>7138.9</v>
      </c>
      <c r="Q8" s="61">
        <v>8383.7</v>
      </c>
      <c r="R8" s="61">
        <v>9174.8</v>
      </c>
      <c r="S8" s="61">
        <v>6000.8</v>
      </c>
      <c r="T8" s="63">
        <v>6405.7</v>
      </c>
      <c r="U8" s="63"/>
      <c r="V8" s="61"/>
      <c r="W8" s="61"/>
      <c r="X8" s="61"/>
      <c r="Y8" s="62"/>
      <c r="Z8" s="62"/>
      <c r="AA8" s="62"/>
      <c r="AB8" s="62"/>
      <c r="AC8" s="61"/>
      <c r="AD8" s="64"/>
      <c r="AE8" s="64"/>
      <c r="AF8" s="65">
        <f>SUM(D8:AE8)+C8-AG9+AG16+AG25</f>
        <v>69070.87824000006</v>
      </c>
      <c r="AG8" s="66"/>
      <c r="AH8" s="67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36" s="5" customFormat="1" ht="15.75">
      <c r="A9" s="47" t="s">
        <v>14</v>
      </c>
      <c r="B9" s="23">
        <f aca="true" t="shared" si="0" ref="B9:AE9">B10+B15+B24+B33+B47+B52+B54+B61+B62+B71+B72+B88+B76+B81+B83+B82+B69+B89+B90+B91+B70+B40+B92</f>
        <v>229019.09999999995</v>
      </c>
      <c r="C9" s="23">
        <f t="shared" si="0"/>
        <v>73688.91483000001</v>
      </c>
      <c r="D9" s="68">
        <f t="shared" si="0"/>
        <v>0</v>
      </c>
      <c r="E9" s="68">
        <f t="shared" si="0"/>
        <v>10633.300000000001</v>
      </c>
      <c r="F9" s="68">
        <f t="shared" si="0"/>
        <v>10038.3</v>
      </c>
      <c r="G9" s="68">
        <f t="shared" si="0"/>
        <v>3756.7</v>
      </c>
      <c r="H9" s="68">
        <f>H10+H15+H24+H33+H47+H52+H54+H61+H62+H71+H72+H88+H76+H81+H83+H82+H69+H89+H90+H91+H70+H40+H92</f>
        <v>3510.4</v>
      </c>
      <c r="I9" s="68">
        <f t="shared" si="0"/>
        <v>5282.1</v>
      </c>
      <c r="J9" s="68">
        <f t="shared" si="0"/>
        <v>13578</v>
      </c>
      <c r="K9" s="68">
        <f t="shared" si="0"/>
        <v>35166.799999999996</v>
      </c>
      <c r="L9" s="68">
        <f t="shared" si="0"/>
        <v>8076.5</v>
      </c>
      <c r="M9" s="68">
        <f t="shared" si="0"/>
        <v>3214</v>
      </c>
      <c r="N9" s="90">
        <f t="shared" si="0"/>
        <v>807.1</v>
      </c>
      <c r="O9" s="68">
        <f t="shared" si="0"/>
        <v>4867.8</v>
      </c>
      <c r="P9" s="68">
        <f t="shared" si="0"/>
        <v>7927.5</v>
      </c>
      <c r="Q9" s="68">
        <f t="shared" si="0"/>
        <v>3407.9</v>
      </c>
      <c r="R9" s="68">
        <f t="shared" si="0"/>
        <v>5663.7</v>
      </c>
      <c r="S9" s="68">
        <f t="shared" si="0"/>
        <v>1038.8</v>
      </c>
      <c r="T9" s="68">
        <f t="shared" si="0"/>
        <v>12953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>
        <f t="shared" si="0"/>
        <v>0</v>
      </c>
      <c r="AF9" s="68"/>
      <c r="AG9" s="68">
        <f>AG10+AG15+AG24+AG33+AG47+AG52+AG54+AG61+AG62+AG71+AG72+AG76+AG88+AG81+AG83+AG82+AG69+AG89+AG90+AG91+AG70+AG40+AG92</f>
        <v>129921.90000000001</v>
      </c>
      <c r="AH9" s="90">
        <f>AH10+AH15+AH24+AH33+AH47+AH52+AH54+AH61+AH62+AH71+AH72+AH76+AH88+AH81+AH83+AH82+AH69+AH89+AH91+AH90+AH70+AH40+AH92</f>
        <v>172786.11482999998</v>
      </c>
      <c r="AI9" s="41"/>
      <c r="AJ9" s="41"/>
    </row>
    <row r="10" spans="1:36" s="101" customFormat="1" ht="15.75">
      <c r="A10" s="97" t="s">
        <v>4</v>
      </c>
      <c r="B10" s="98">
        <v>19226.1</v>
      </c>
      <c r="C10" s="98">
        <v>4574.100000000002</v>
      </c>
      <c r="D10" s="99"/>
      <c r="E10" s="99">
        <v>443.9</v>
      </c>
      <c r="F10" s="99">
        <v>95.4</v>
      </c>
      <c r="G10" s="99">
        <v>331.1</v>
      </c>
      <c r="H10" s="99">
        <v>76.6</v>
      </c>
      <c r="I10" s="99">
        <v>36.8</v>
      </c>
      <c r="J10" s="99">
        <v>49.5</v>
      </c>
      <c r="K10" s="100">
        <v>1454.8</v>
      </c>
      <c r="L10" s="99">
        <v>2354.1</v>
      </c>
      <c r="M10" s="99">
        <v>2278.3</v>
      </c>
      <c r="N10" s="99">
        <v>13.1</v>
      </c>
      <c r="O10" s="99">
        <v>160.2</v>
      </c>
      <c r="P10" s="99">
        <v>26.9</v>
      </c>
      <c r="Q10" s="99">
        <v>516.5</v>
      </c>
      <c r="R10" s="99">
        <v>1</v>
      </c>
      <c r="S10" s="99">
        <v>19.8</v>
      </c>
      <c r="T10" s="99">
        <v>67.4</v>
      </c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>
        <f aca="true" t="shared" si="1" ref="AG10:AG59">SUM(D10:AE10)</f>
        <v>7925.4</v>
      </c>
      <c r="AH10" s="99">
        <f>B10+C10-AG10</f>
        <v>15874.800000000001</v>
      </c>
      <c r="AJ10" s="102"/>
    </row>
    <row r="11" spans="1:36" s="101" customFormat="1" ht="15.75">
      <c r="A11" s="103" t="s">
        <v>5</v>
      </c>
      <c r="B11" s="98">
        <v>18077.5</v>
      </c>
      <c r="C11" s="98">
        <v>3442.900000000005</v>
      </c>
      <c r="D11" s="99"/>
      <c r="E11" s="99">
        <v>443.9</v>
      </c>
      <c r="F11" s="99">
        <v>70.3</v>
      </c>
      <c r="G11" s="99">
        <v>10.4</v>
      </c>
      <c r="H11" s="99">
        <v>66.5</v>
      </c>
      <c r="I11" s="99"/>
      <c r="J11" s="99"/>
      <c r="K11" s="99">
        <v>1293</v>
      </c>
      <c r="L11" s="99">
        <v>2348.9</v>
      </c>
      <c r="M11" s="99">
        <v>2098.9</v>
      </c>
      <c r="N11" s="99"/>
      <c r="O11" s="99">
        <v>101.7</v>
      </c>
      <c r="P11" s="99">
        <v>0.4</v>
      </c>
      <c r="Q11" s="99">
        <v>516</v>
      </c>
      <c r="R11" s="99"/>
      <c r="S11" s="99">
        <v>10.8</v>
      </c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>
        <f t="shared" si="1"/>
        <v>6960.799999999999</v>
      </c>
      <c r="AH11" s="99">
        <f>B11+C11-AG11</f>
        <v>14559.600000000006</v>
      </c>
      <c r="AJ11" s="102"/>
    </row>
    <row r="12" spans="1:36" s="101" customFormat="1" ht="15.75">
      <c r="A12" s="103" t="s">
        <v>2</v>
      </c>
      <c r="B12" s="104">
        <v>94.9</v>
      </c>
      <c r="C12" s="98">
        <v>189.39999999999998</v>
      </c>
      <c r="D12" s="99"/>
      <c r="E12" s="99"/>
      <c r="F12" s="99"/>
      <c r="G12" s="99">
        <f>127.9-10.1</f>
        <v>117.80000000000001</v>
      </c>
      <c r="H12" s="99">
        <v>10</v>
      </c>
      <c r="I12" s="99">
        <v>5.9</v>
      </c>
      <c r="J12" s="99"/>
      <c r="K12" s="99">
        <v>112.5</v>
      </c>
      <c r="L12" s="99"/>
      <c r="M12" s="99">
        <v>3.5</v>
      </c>
      <c r="N12" s="99"/>
      <c r="O12" s="99">
        <v>4.3</v>
      </c>
      <c r="P12" s="99"/>
      <c r="Q12" s="99"/>
      <c r="R12" s="99"/>
      <c r="S12" s="99">
        <v>3</v>
      </c>
      <c r="T12" s="99">
        <v>9.2</v>
      </c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>
        <f t="shared" si="1"/>
        <v>266.2</v>
      </c>
      <c r="AH12" s="99">
        <f>B12+C12-AG12</f>
        <v>18.099999999999966</v>
      </c>
      <c r="AJ12" s="102"/>
    </row>
    <row r="13" spans="1:36" s="101" customFormat="1" ht="15.75" hidden="1">
      <c r="A13" s="103" t="s">
        <v>16</v>
      </c>
      <c r="B13" s="98"/>
      <c r="C13" s="98">
        <v>0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>
        <f t="shared" si="1"/>
        <v>0</v>
      </c>
      <c r="AH13" s="99">
        <f>B13+C13-AG13</f>
        <v>0</v>
      </c>
      <c r="AJ13" s="102"/>
    </row>
    <row r="14" spans="1:36" s="101" customFormat="1" ht="15.75">
      <c r="A14" s="103" t="s">
        <v>23</v>
      </c>
      <c r="B14" s="98">
        <f aca="true" t="shared" si="2" ref="B14:Z14">B10-B11-B12-B13</f>
        <v>1053.6999999999985</v>
      </c>
      <c r="C14" s="98">
        <v>941.7999999999971</v>
      </c>
      <c r="D14" s="99">
        <f t="shared" si="2"/>
        <v>0</v>
      </c>
      <c r="E14" s="99">
        <f t="shared" si="2"/>
        <v>0</v>
      </c>
      <c r="F14" s="99">
        <f t="shared" si="2"/>
        <v>25.10000000000001</v>
      </c>
      <c r="G14" s="99">
        <f t="shared" si="2"/>
        <v>202.90000000000003</v>
      </c>
      <c r="H14" s="99">
        <f>H10-H11-H12-H13</f>
        <v>0.09999999999999432</v>
      </c>
      <c r="I14" s="99">
        <f t="shared" si="2"/>
        <v>30.9</v>
      </c>
      <c r="J14" s="99">
        <f t="shared" si="2"/>
        <v>49.5</v>
      </c>
      <c r="K14" s="99">
        <f t="shared" si="2"/>
        <v>49.299999999999955</v>
      </c>
      <c r="L14" s="99">
        <f t="shared" si="2"/>
        <v>5.199999999999818</v>
      </c>
      <c r="M14" s="99">
        <f t="shared" si="2"/>
        <v>175.9000000000001</v>
      </c>
      <c r="N14" s="99">
        <f t="shared" si="2"/>
        <v>13.1</v>
      </c>
      <c r="O14" s="99">
        <f t="shared" si="2"/>
        <v>54.19999999999999</v>
      </c>
      <c r="P14" s="99">
        <f t="shared" si="2"/>
        <v>26.5</v>
      </c>
      <c r="Q14" s="99">
        <f t="shared" si="2"/>
        <v>0.5</v>
      </c>
      <c r="R14" s="99">
        <f t="shared" si="2"/>
        <v>1</v>
      </c>
      <c r="S14" s="99">
        <f t="shared" si="2"/>
        <v>6</v>
      </c>
      <c r="T14" s="99">
        <f t="shared" si="2"/>
        <v>58.2</v>
      </c>
      <c r="U14" s="99">
        <f t="shared" si="2"/>
        <v>0</v>
      </c>
      <c r="V14" s="99">
        <f t="shared" si="2"/>
        <v>0</v>
      </c>
      <c r="W14" s="99">
        <f t="shared" si="2"/>
        <v>0</v>
      </c>
      <c r="X14" s="99">
        <f t="shared" si="2"/>
        <v>0</v>
      </c>
      <c r="Y14" s="99">
        <f t="shared" si="2"/>
        <v>0</v>
      </c>
      <c r="Z14" s="99">
        <f t="shared" si="2"/>
        <v>0</v>
      </c>
      <c r="AA14" s="99"/>
      <c r="AB14" s="99"/>
      <c r="AC14" s="99"/>
      <c r="AD14" s="99"/>
      <c r="AE14" s="99"/>
      <c r="AF14" s="99"/>
      <c r="AG14" s="99">
        <f t="shared" si="1"/>
        <v>698.3999999999999</v>
      </c>
      <c r="AH14" s="99">
        <f>AH10-AH11-AH12-AH13</f>
        <v>1297.0999999999954</v>
      </c>
      <c r="AJ14" s="102"/>
    </row>
    <row r="15" spans="1:36" s="101" customFormat="1" ht="15" customHeight="1">
      <c r="A15" s="97" t="s">
        <v>6</v>
      </c>
      <c r="B15" s="98">
        <f>105110.8-6000</f>
        <v>99110.8</v>
      </c>
      <c r="C15" s="98">
        <v>31558.09999999999</v>
      </c>
      <c r="D15" s="105"/>
      <c r="E15" s="105">
        <f>39.5+14.3</f>
        <v>53.8</v>
      </c>
      <c r="F15" s="99"/>
      <c r="G15" s="99">
        <v>1260.1</v>
      </c>
      <c r="H15" s="99">
        <v>405.8</v>
      </c>
      <c r="I15" s="99">
        <v>252.6</v>
      </c>
      <c r="J15" s="99">
        <v>2133.3</v>
      </c>
      <c r="K15" s="99">
        <f>13730.5+10532.6</f>
        <v>24263.1</v>
      </c>
      <c r="L15" s="99">
        <v>1117.8</v>
      </c>
      <c r="M15" s="99">
        <v>436</v>
      </c>
      <c r="N15" s="99">
        <v>409.4</v>
      </c>
      <c r="O15" s="99">
        <v>572.5</v>
      </c>
      <c r="P15" s="99">
        <v>924.7</v>
      </c>
      <c r="Q15" s="99">
        <v>143.2</v>
      </c>
      <c r="R15" s="99">
        <v>762.1</v>
      </c>
      <c r="S15" s="99">
        <v>701</v>
      </c>
      <c r="T15" s="99">
        <v>75.3</v>
      </c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>
        <f t="shared" si="1"/>
        <v>33510.7</v>
      </c>
      <c r="AH15" s="99">
        <f aca="true" t="shared" si="3" ref="AH15:AH31">B15+C15-AG15</f>
        <v>97158.2</v>
      </c>
      <c r="AJ15" s="102"/>
    </row>
    <row r="16" spans="1:36" s="111" customFormat="1" ht="15" customHeight="1">
      <c r="A16" s="106" t="s">
        <v>38</v>
      </c>
      <c r="B16" s="107">
        <v>45313.7</v>
      </c>
      <c r="C16" s="107">
        <v>58.99999999999636</v>
      </c>
      <c r="D16" s="108"/>
      <c r="E16" s="108">
        <v>14.3</v>
      </c>
      <c r="F16" s="109"/>
      <c r="G16" s="109"/>
      <c r="H16" s="109"/>
      <c r="I16" s="109"/>
      <c r="J16" s="109"/>
      <c r="K16" s="109">
        <v>10532.6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8">
        <f t="shared" si="1"/>
        <v>10546.9</v>
      </c>
      <c r="AH16" s="108">
        <f t="shared" si="3"/>
        <v>34825.799999999996</v>
      </c>
      <c r="AI16" s="110"/>
      <c r="AJ16" s="102"/>
    </row>
    <row r="17" spans="1:36" s="101" customFormat="1" ht="15.75">
      <c r="A17" s="103" t="s">
        <v>5</v>
      </c>
      <c r="B17" s="98">
        <v>93423.2</v>
      </c>
      <c r="C17" s="98">
        <v>6496.159999999996</v>
      </c>
      <c r="D17" s="99"/>
      <c r="E17" s="99">
        <f>39.5+14.3</f>
        <v>53.8</v>
      </c>
      <c r="F17" s="99"/>
      <c r="G17" s="99"/>
      <c r="H17" s="99"/>
      <c r="I17" s="99"/>
      <c r="J17" s="99"/>
      <c r="K17" s="99">
        <f>10532.6+12547.2</f>
        <v>23079.800000000003</v>
      </c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>
        <f t="shared" si="1"/>
        <v>23133.600000000002</v>
      </c>
      <c r="AH17" s="99">
        <f t="shared" si="3"/>
        <v>76785.75999999998</v>
      </c>
      <c r="AI17" s="102"/>
      <c r="AJ17" s="102"/>
    </row>
    <row r="18" spans="1:36" s="101" customFormat="1" ht="15.75">
      <c r="A18" s="103" t="s">
        <v>3</v>
      </c>
      <c r="B18" s="98">
        <v>0</v>
      </c>
      <c r="C18" s="98">
        <v>15.100000000000001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>
        <f t="shared" si="1"/>
        <v>0</v>
      </c>
      <c r="AH18" s="99">
        <f t="shared" si="3"/>
        <v>15.100000000000001</v>
      </c>
      <c r="AJ18" s="102"/>
    </row>
    <row r="19" spans="1:36" s="101" customFormat="1" ht="15.75">
      <c r="A19" s="103" t="s">
        <v>1</v>
      </c>
      <c r="B19" s="98">
        <v>5116.3</v>
      </c>
      <c r="C19" s="98">
        <v>2548.5999999999985</v>
      </c>
      <c r="D19" s="99"/>
      <c r="E19" s="99"/>
      <c r="F19" s="99"/>
      <c r="G19" s="99">
        <v>708.8</v>
      </c>
      <c r="H19" s="99">
        <v>214.1</v>
      </c>
      <c r="I19" s="99">
        <v>98</v>
      </c>
      <c r="J19" s="99">
        <v>840.2</v>
      </c>
      <c r="K19" s="99">
        <v>413</v>
      </c>
      <c r="L19" s="99">
        <v>34.3</v>
      </c>
      <c r="M19" s="99">
        <v>314.6</v>
      </c>
      <c r="N19" s="99">
        <v>100.4</v>
      </c>
      <c r="O19" s="99">
        <v>456.8</v>
      </c>
      <c r="P19" s="99">
        <v>441.8</v>
      </c>
      <c r="Q19" s="99"/>
      <c r="R19" s="99">
        <v>78.1</v>
      </c>
      <c r="S19" s="99">
        <v>348.9</v>
      </c>
      <c r="T19" s="99">
        <v>2.2</v>
      </c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>
        <f t="shared" si="1"/>
        <v>4051.2000000000003</v>
      </c>
      <c r="AH19" s="99">
        <f t="shared" si="3"/>
        <v>3613.6999999999985</v>
      </c>
      <c r="AJ19" s="102"/>
    </row>
    <row r="20" spans="1:36" s="101" customFormat="1" ht="15.75">
      <c r="A20" s="103" t="s">
        <v>2</v>
      </c>
      <c r="B20" s="98">
        <f>1951.1-6000+4.2</f>
        <v>-4044.7000000000003</v>
      </c>
      <c r="C20" s="98">
        <v>16839.699999999997</v>
      </c>
      <c r="D20" s="99"/>
      <c r="E20" s="99"/>
      <c r="F20" s="99"/>
      <c r="G20" s="99">
        <v>499.3</v>
      </c>
      <c r="H20" s="99">
        <v>189</v>
      </c>
      <c r="I20" s="99">
        <v>105</v>
      </c>
      <c r="J20" s="99">
        <v>924.1</v>
      </c>
      <c r="K20" s="99">
        <v>743.1</v>
      </c>
      <c r="L20" s="99">
        <v>713.2</v>
      </c>
      <c r="M20" s="99">
        <v>2.5</v>
      </c>
      <c r="N20" s="99">
        <v>274</v>
      </c>
      <c r="O20" s="99">
        <v>68.8</v>
      </c>
      <c r="P20" s="99">
        <v>344.9</v>
      </c>
      <c r="Q20" s="99"/>
      <c r="R20" s="99">
        <v>81.5</v>
      </c>
      <c r="S20" s="99">
        <v>43.7</v>
      </c>
      <c r="T20" s="99">
        <v>7.6</v>
      </c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>
        <f t="shared" si="1"/>
        <v>3996.7</v>
      </c>
      <c r="AH20" s="99">
        <f t="shared" si="3"/>
        <v>8798.299999999996</v>
      </c>
      <c r="AJ20" s="102"/>
    </row>
    <row r="21" spans="1:36" s="101" customFormat="1" ht="15.75">
      <c r="A21" s="103" t="s">
        <v>16</v>
      </c>
      <c r="B21" s="98">
        <v>1258.9</v>
      </c>
      <c r="C21" s="98">
        <v>516.6999999999999</v>
      </c>
      <c r="D21" s="99"/>
      <c r="E21" s="99"/>
      <c r="F21" s="99"/>
      <c r="G21" s="99"/>
      <c r="H21" s="99"/>
      <c r="I21" s="99"/>
      <c r="J21" s="99">
        <v>205.8</v>
      </c>
      <c r="K21" s="99"/>
      <c r="L21" s="99"/>
      <c r="M21" s="99"/>
      <c r="N21" s="99">
        <v>21</v>
      </c>
      <c r="O21" s="99"/>
      <c r="P21" s="99"/>
      <c r="Q21" s="99"/>
      <c r="R21" s="99">
        <f>475.1+46.1</f>
        <v>521.2</v>
      </c>
      <c r="S21" s="99">
        <v>265</v>
      </c>
      <c r="T21" s="99">
        <v>1</v>
      </c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>
        <f t="shared" si="1"/>
        <v>1014</v>
      </c>
      <c r="AH21" s="99">
        <f t="shared" si="3"/>
        <v>761.5999999999999</v>
      </c>
      <c r="AJ21" s="102"/>
    </row>
    <row r="22" spans="1:36" s="101" customFormat="1" ht="15.75" hidden="1">
      <c r="A22" s="103" t="s">
        <v>15</v>
      </c>
      <c r="B22" s="112"/>
      <c r="C22" s="98">
        <v>0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>
        <f t="shared" si="1"/>
        <v>0</v>
      </c>
      <c r="AH22" s="99">
        <f t="shared" si="3"/>
        <v>0</v>
      </c>
      <c r="AJ22" s="102"/>
    </row>
    <row r="23" spans="1:36" s="101" customFormat="1" ht="15.75">
      <c r="A23" s="103" t="s">
        <v>23</v>
      </c>
      <c r="B23" s="98">
        <f>B15-B17-B18-B19-B20-B21-B22</f>
        <v>3357.1000000000054</v>
      </c>
      <c r="C23" s="98">
        <v>5356.240000000022</v>
      </c>
      <c r="D23" s="99">
        <f aca="true" t="shared" si="4" ref="D23:AE23">D15-D17-D18-D19-D20-D21-D22</f>
        <v>0</v>
      </c>
      <c r="E23" s="99">
        <f t="shared" si="4"/>
        <v>0</v>
      </c>
      <c r="F23" s="99">
        <f t="shared" si="4"/>
        <v>0</v>
      </c>
      <c r="G23" s="99">
        <f t="shared" si="4"/>
        <v>51.99999999999994</v>
      </c>
      <c r="H23" s="99">
        <f>H15-H17-H18-H19-H20-H21-H22</f>
        <v>2.700000000000017</v>
      </c>
      <c r="I23" s="99">
        <f t="shared" si="4"/>
        <v>49.599999999999994</v>
      </c>
      <c r="J23" s="99">
        <f t="shared" si="4"/>
        <v>163.2000000000001</v>
      </c>
      <c r="K23" s="99">
        <f t="shared" si="4"/>
        <v>27.19999999999561</v>
      </c>
      <c r="L23" s="99">
        <f t="shared" si="4"/>
        <v>370.29999999999995</v>
      </c>
      <c r="M23" s="99">
        <f t="shared" si="4"/>
        <v>118.89999999999998</v>
      </c>
      <c r="N23" s="99">
        <f t="shared" si="4"/>
        <v>14</v>
      </c>
      <c r="O23" s="99">
        <f t="shared" si="4"/>
        <v>46.89999999999999</v>
      </c>
      <c r="P23" s="99">
        <f t="shared" si="4"/>
        <v>138.00000000000006</v>
      </c>
      <c r="Q23" s="99">
        <f t="shared" si="4"/>
        <v>143.2</v>
      </c>
      <c r="R23" s="99">
        <f t="shared" si="4"/>
        <v>81.29999999999995</v>
      </c>
      <c r="S23" s="99">
        <f t="shared" si="4"/>
        <v>43.400000000000034</v>
      </c>
      <c r="T23" s="99">
        <f t="shared" si="4"/>
        <v>64.5</v>
      </c>
      <c r="U23" s="99">
        <f t="shared" si="4"/>
        <v>0</v>
      </c>
      <c r="V23" s="99">
        <f t="shared" si="4"/>
        <v>0</v>
      </c>
      <c r="W23" s="99">
        <f t="shared" si="4"/>
        <v>0</v>
      </c>
      <c r="X23" s="99">
        <f t="shared" si="4"/>
        <v>0</v>
      </c>
      <c r="Y23" s="99">
        <f t="shared" si="4"/>
        <v>0</v>
      </c>
      <c r="Z23" s="99">
        <f t="shared" si="4"/>
        <v>0</v>
      </c>
      <c r="AA23" s="99">
        <f t="shared" si="4"/>
        <v>0</v>
      </c>
      <c r="AB23" s="99">
        <f t="shared" si="4"/>
        <v>0</v>
      </c>
      <c r="AC23" s="99">
        <f t="shared" si="4"/>
        <v>0</v>
      </c>
      <c r="AD23" s="99">
        <f t="shared" si="4"/>
        <v>0</v>
      </c>
      <c r="AE23" s="99">
        <f t="shared" si="4"/>
        <v>0</v>
      </c>
      <c r="AF23" s="99"/>
      <c r="AG23" s="99">
        <f t="shared" si="1"/>
        <v>1315.1999999999957</v>
      </c>
      <c r="AH23" s="99">
        <f t="shared" si="3"/>
        <v>7398.140000000032</v>
      </c>
      <c r="AJ23" s="102"/>
    </row>
    <row r="24" spans="1:36" s="101" customFormat="1" ht="15" customHeight="1">
      <c r="A24" s="97" t="s">
        <v>7</v>
      </c>
      <c r="B24" s="98">
        <f>37918.1-3000</f>
        <v>34918.1</v>
      </c>
      <c r="C24" s="98">
        <v>14046.100000000006</v>
      </c>
      <c r="D24" s="99"/>
      <c r="E24" s="99">
        <v>66</v>
      </c>
      <c r="F24" s="99">
        <f>205.9+78.6</f>
        <v>284.5</v>
      </c>
      <c r="G24" s="99">
        <f>84.6+109.2</f>
        <v>193.8</v>
      </c>
      <c r="H24" s="99">
        <v>117.8</v>
      </c>
      <c r="I24" s="99">
        <v>150.5</v>
      </c>
      <c r="J24" s="99">
        <f>1572.9+369.6</f>
        <v>1942.5</v>
      </c>
      <c r="K24" s="99">
        <f>737.8+7895.9</f>
        <v>8633.699999999999</v>
      </c>
      <c r="L24" s="99">
        <v>2034.2</v>
      </c>
      <c r="M24" s="99">
        <v>100.3</v>
      </c>
      <c r="N24" s="99">
        <v>0.9</v>
      </c>
      <c r="O24" s="99"/>
      <c r="P24" s="99">
        <f>1120.8+1222.4</f>
        <v>2343.2</v>
      </c>
      <c r="Q24" s="99">
        <v>4</v>
      </c>
      <c r="R24" s="99">
        <v>8.9</v>
      </c>
      <c r="S24" s="99">
        <v>180.1</v>
      </c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>
        <f t="shared" si="1"/>
        <v>16060.399999999998</v>
      </c>
      <c r="AH24" s="99">
        <f t="shared" si="3"/>
        <v>32903.8</v>
      </c>
      <c r="AJ24" s="102"/>
    </row>
    <row r="25" spans="1:36" s="111" customFormat="1" ht="15" customHeight="1">
      <c r="A25" s="106" t="s">
        <v>39</v>
      </c>
      <c r="B25" s="107">
        <v>17137.9</v>
      </c>
      <c r="C25" s="107">
        <v>99.79999999999927</v>
      </c>
      <c r="D25" s="109"/>
      <c r="E25" s="109"/>
      <c r="F25" s="109"/>
      <c r="G25" s="109"/>
      <c r="H25" s="109"/>
      <c r="I25" s="109"/>
      <c r="J25" s="109">
        <v>369.6</v>
      </c>
      <c r="K25" s="109">
        <v>7895.9</v>
      </c>
      <c r="L25" s="109">
        <v>2034.2</v>
      </c>
      <c r="M25" s="109"/>
      <c r="N25" s="109"/>
      <c r="O25" s="109"/>
      <c r="P25" s="109">
        <v>1222.4</v>
      </c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8">
        <f t="shared" si="1"/>
        <v>11522.1</v>
      </c>
      <c r="AH25" s="108">
        <f t="shared" si="3"/>
        <v>5715.6</v>
      </c>
      <c r="AI25" s="110"/>
      <c r="AJ25" s="102"/>
    </row>
    <row r="26" spans="1:36" s="101" customFormat="1" ht="15.75" hidden="1">
      <c r="A26" s="103" t="s">
        <v>5</v>
      </c>
      <c r="B26" s="98"/>
      <c r="C26" s="98">
        <v>0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>
        <f t="shared" si="1"/>
        <v>0</v>
      </c>
      <c r="AH26" s="99">
        <f t="shared" si="3"/>
        <v>0</v>
      </c>
      <c r="AI26" s="102"/>
      <c r="AJ26" s="102"/>
    </row>
    <row r="27" spans="1:36" s="101" customFormat="1" ht="15.75" hidden="1">
      <c r="A27" s="103" t="s">
        <v>3</v>
      </c>
      <c r="B27" s="98"/>
      <c r="C27" s="98">
        <v>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>
        <f t="shared" si="1"/>
        <v>0</v>
      </c>
      <c r="AH27" s="99">
        <f t="shared" si="3"/>
        <v>0</v>
      </c>
      <c r="AJ27" s="102"/>
    </row>
    <row r="28" spans="1:36" s="101" customFormat="1" ht="15.75" hidden="1">
      <c r="A28" s="103" t="s">
        <v>1</v>
      </c>
      <c r="B28" s="98"/>
      <c r="C28" s="98">
        <v>0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>
        <f t="shared" si="1"/>
        <v>0</v>
      </c>
      <c r="AH28" s="99">
        <f t="shared" si="3"/>
        <v>0</v>
      </c>
      <c r="AJ28" s="102"/>
    </row>
    <row r="29" spans="1:36" s="101" customFormat="1" ht="15.75" hidden="1">
      <c r="A29" s="103" t="s">
        <v>2</v>
      </c>
      <c r="B29" s="98"/>
      <c r="C29" s="98">
        <v>0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>
        <f t="shared" si="1"/>
        <v>0</v>
      </c>
      <c r="AH29" s="99">
        <f t="shared" si="3"/>
        <v>0</v>
      </c>
      <c r="AJ29" s="102"/>
    </row>
    <row r="30" spans="1:36" s="101" customFormat="1" ht="15.75">
      <c r="A30" s="103" t="s">
        <v>16</v>
      </c>
      <c r="B30" s="98">
        <v>90.9</v>
      </c>
      <c r="C30" s="98">
        <v>73.30000000000001</v>
      </c>
      <c r="D30" s="99"/>
      <c r="E30" s="99"/>
      <c r="F30" s="99"/>
      <c r="G30" s="99"/>
      <c r="H30" s="99"/>
      <c r="I30" s="99"/>
      <c r="J30" s="99"/>
      <c r="K30" s="99"/>
      <c r="L30" s="99"/>
      <c r="M30" s="99">
        <v>100.3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>
        <f t="shared" si="1"/>
        <v>100.3</v>
      </c>
      <c r="AH30" s="99">
        <f t="shared" si="3"/>
        <v>63.90000000000002</v>
      </c>
      <c r="AJ30" s="102"/>
    </row>
    <row r="31" spans="1:36" s="101" customFormat="1" ht="15.75" hidden="1">
      <c r="A31" s="103" t="s">
        <v>15</v>
      </c>
      <c r="B31" s="98"/>
      <c r="C31" s="98">
        <v>0</v>
      </c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>
        <f t="shared" si="1"/>
        <v>0</v>
      </c>
      <c r="AH31" s="99">
        <f t="shared" si="3"/>
        <v>0</v>
      </c>
      <c r="AJ31" s="102"/>
    </row>
    <row r="32" spans="1:36" s="101" customFormat="1" ht="15.75">
      <c r="A32" s="103" t="s">
        <v>23</v>
      </c>
      <c r="B32" s="98">
        <f>B24-B30</f>
        <v>34827.2</v>
      </c>
      <c r="C32" s="98">
        <v>13972.800000000007</v>
      </c>
      <c r="D32" s="99">
        <f aca="true" t="shared" si="5" ref="D32:AE32">D24-D26-D27-D28-D29-D30-D31</f>
        <v>0</v>
      </c>
      <c r="E32" s="99">
        <f t="shared" si="5"/>
        <v>66</v>
      </c>
      <c r="F32" s="99">
        <f t="shared" si="5"/>
        <v>284.5</v>
      </c>
      <c r="G32" s="99">
        <f t="shared" si="5"/>
        <v>193.8</v>
      </c>
      <c r="H32" s="99">
        <f>H24-H26-H27-H28-H29-H30-H31</f>
        <v>117.8</v>
      </c>
      <c r="I32" s="99">
        <f t="shared" si="5"/>
        <v>150.5</v>
      </c>
      <c r="J32" s="99">
        <f t="shared" si="5"/>
        <v>1942.5</v>
      </c>
      <c r="K32" s="99">
        <f t="shared" si="5"/>
        <v>8633.699999999999</v>
      </c>
      <c r="L32" s="99">
        <f t="shared" si="5"/>
        <v>2034.2</v>
      </c>
      <c r="M32" s="99">
        <f t="shared" si="5"/>
        <v>0</v>
      </c>
      <c r="N32" s="99">
        <f t="shared" si="5"/>
        <v>0.9</v>
      </c>
      <c r="O32" s="99">
        <f t="shared" si="5"/>
        <v>0</v>
      </c>
      <c r="P32" s="99">
        <f t="shared" si="5"/>
        <v>2343.2</v>
      </c>
      <c r="Q32" s="99">
        <f t="shared" si="5"/>
        <v>4</v>
      </c>
      <c r="R32" s="99">
        <f t="shared" si="5"/>
        <v>8.9</v>
      </c>
      <c r="S32" s="99">
        <f t="shared" si="5"/>
        <v>180.1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0</v>
      </c>
      <c r="X32" s="99">
        <f t="shared" si="5"/>
        <v>0</v>
      </c>
      <c r="Y32" s="99">
        <f t="shared" si="5"/>
        <v>0</v>
      </c>
      <c r="Z32" s="99">
        <f t="shared" si="5"/>
        <v>0</v>
      </c>
      <c r="AA32" s="99">
        <f t="shared" si="5"/>
        <v>0</v>
      </c>
      <c r="AB32" s="99">
        <f t="shared" si="5"/>
        <v>0</v>
      </c>
      <c r="AC32" s="99">
        <f t="shared" si="5"/>
        <v>0</v>
      </c>
      <c r="AD32" s="99">
        <f t="shared" si="5"/>
        <v>0</v>
      </c>
      <c r="AE32" s="99">
        <f t="shared" si="5"/>
        <v>0</v>
      </c>
      <c r="AF32" s="99"/>
      <c r="AG32" s="99">
        <f t="shared" si="1"/>
        <v>15960.099999999999</v>
      </c>
      <c r="AH32" s="99">
        <f>AH24-AH30</f>
        <v>32839.9</v>
      </c>
      <c r="AJ32" s="102"/>
    </row>
    <row r="33" spans="1:36" s="101" customFormat="1" ht="15" customHeight="1">
      <c r="A33" s="97" t="s">
        <v>8</v>
      </c>
      <c r="B33" s="98">
        <v>860.3</v>
      </c>
      <c r="C33" s="98">
        <v>170.80000000000018</v>
      </c>
      <c r="D33" s="99"/>
      <c r="E33" s="99"/>
      <c r="F33" s="99"/>
      <c r="G33" s="99"/>
      <c r="H33" s="99"/>
      <c r="I33" s="99"/>
      <c r="J33" s="99"/>
      <c r="K33" s="99">
        <v>49.5</v>
      </c>
      <c r="L33" s="99">
        <v>49.3</v>
      </c>
      <c r="M33" s="99"/>
      <c r="N33" s="99"/>
      <c r="O33" s="99"/>
      <c r="P33" s="99"/>
      <c r="Q33" s="99">
        <v>61.5</v>
      </c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>
        <f>SUM(D33:AE33)</f>
        <v>160.3</v>
      </c>
      <c r="AH33" s="99">
        <f aca="true" t="shared" si="6" ref="AH33:AH38">B33+C33-AG33</f>
        <v>870.8000000000002</v>
      </c>
      <c r="AJ33" s="102"/>
    </row>
    <row r="34" spans="1:36" s="101" customFormat="1" ht="15.75">
      <c r="A34" s="103" t="s">
        <v>5</v>
      </c>
      <c r="B34" s="98">
        <f>309-0.1</f>
        <v>308.9</v>
      </c>
      <c r="C34" s="98">
        <v>12.800000000000011</v>
      </c>
      <c r="D34" s="99"/>
      <c r="E34" s="99"/>
      <c r="F34" s="99"/>
      <c r="G34" s="99"/>
      <c r="H34" s="99"/>
      <c r="I34" s="99"/>
      <c r="J34" s="99"/>
      <c r="K34" s="99">
        <v>49.5</v>
      </c>
      <c r="L34" s="99">
        <v>34.4</v>
      </c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>
        <f t="shared" si="1"/>
        <v>83.9</v>
      </c>
      <c r="AH34" s="99">
        <f t="shared" si="6"/>
        <v>237.79999999999998</v>
      </c>
      <c r="AJ34" s="102"/>
    </row>
    <row r="35" spans="1:36" s="101" customFormat="1" ht="15.75">
      <c r="A35" s="103" t="s">
        <v>1</v>
      </c>
      <c r="B35" s="98">
        <v>420</v>
      </c>
      <c r="C35" s="98">
        <v>0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>
        <f t="shared" si="1"/>
        <v>0</v>
      </c>
      <c r="AH35" s="99">
        <f t="shared" si="6"/>
        <v>420</v>
      </c>
      <c r="AJ35" s="102"/>
    </row>
    <row r="36" spans="1:36" s="101" customFormat="1" ht="15.75">
      <c r="A36" s="103" t="s">
        <v>2</v>
      </c>
      <c r="B36" s="112">
        <f>12.6-0.1</f>
        <v>12.5</v>
      </c>
      <c r="C36" s="98">
        <v>78.4</v>
      </c>
      <c r="D36" s="99"/>
      <c r="E36" s="99"/>
      <c r="F36" s="99"/>
      <c r="G36" s="99"/>
      <c r="H36" s="99"/>
      <c r="I36" s="99"/>
      <c r="J36" s="99"/>
      <c r="K36" s="99"/>
      <c r="L36" s="99">
        <v>13.9</v>
      </c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>
        <f t="shared" si="1"/>
        <v>13.9</v>
      </c>
      <c r="AH36" s="99">
        <f t="shared" si="6"/>
        <v>77</v>
      </c>
      <c r="AJ36" s="102"/>
    </row>
    <row r="37" spans="1:36" s="101" customFormat="1" ht="15.75" hidden="1">
      <c r="A37" s="103" t="s">
        <v>16</v>
      </c>
      <c r="B37" s="98"/>
      <c r="C37" s="98">
        <v>0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>
        <f t="shared" si="1"/>
        <v>0</v>
      </c>
      <c r="AH37" s="99">
        <f t="shared" si="6"/>
        <v>0</v>
      </c>
      <c r="AJ37" s="102"/>
    </row>
    <row r="38" spans="1:36" s="101" customFormat="1" ht="15.75" hidden="1">
      <c r="A38" s="103" t="s">
        <v>15</v>
      </c>
      <c r="B38" s="98"/>
      <c r="C38" s="98">
        <v>0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>
        <f t="shared" si="1"/>
        <v>0</v>
      </c>
      <c r="AH38" s="99">
        <f t="shared" si="6"/>
        <v>0</v>
      </c>
      <c r="AJ38" s="102"/>
    </row>
    <row r="39" spans="1:36" s="101" customFormat="1" ht="15.75">
      <c r="A39" s="103" t="s">
        <v>23</v>
      </c>
      <c r="B39" s="98">
        <f aca="true" t="shared" si="7" ref="B39:AE39">B33-B34-B36-B38-B37-B35</f>
        <v>118.89999999999998</v>
      </c>
      <c r="C39" s="98">
        <v>79.60000000000016</v>
      </c>
      <c r="D39" s="99">
        <f t="shared" si="7"/>
        <v>0</v>
      </c>
      <c r="E39" s="99">
        <f t="shared" si="7"/>
        <v>0</v>
      </c>
      <c r="F39" s="99">
        <f t="shared" si="7"/>
        <v>0</v>
      </c>
      <c r="G39" s="99">
        <f t="shared" si="7"/>
        <v>0</v>
      </c>
      <c r="H39" s="99">
        <f>H33-H34-H36-H38-H37-H35</f>
        <v>0</v>
      </c>
      <c r="I39" s="99">
        <f t="shared" si="7"/>
        <v>0</v>
      </c>
      <c r="J39" s="99">
        <f t="shared" si="7"/>
        <v>0</v>
      </c>
      <c r="K39" s="99">
        <f t="shared" si="7"/>
        <v>0</v>
      </c>
      <c r="L39" s="99">
        <f t="shared" si="7"/>
        <v>0.9999999999999982</v>
      </c>
      <c r="M39" s="99">
        <f t="shared" si="7"/>
        <v>0</v>
      </c>
      <c r="N39" s="99">
        <f t="shared" si="7"/>
        <v>0</v>
      </c>
      <c r="O39" s="99">
        <f t="shared" si="7"/>
        <v>0</v>
      </c>
      <c r="P39" s="99">
        <f t="shared" si="7"/>
        <v>0</v>
      </c>
      <c r="Q39" s="99">
        <f t="shared" si="7"/>
        <v>61.5</v>
      </c>
      <c r="R39" s="99">
        <f t="shared" si="7"/>
        <v>0</v>
      </c>
      <c r="S39" s="99">
        <f t="shared" si="7"/>
        <v>0</v>
      </c>
      <c r="T39" s="99">
        <f t="shared" si="7"/>
        <v>0</v>
      </c>
      <c r="U39" s="99">
        <f t="shared" si="7"/>
        <v>0</v>
      </c>
      <c r="V39" s="99">
        <f t="shared" si="7"/>
        <v>0</v>
      </c>
      <c r="W39" s="99">
        <f t="shared" si="7"/>
        <v>0</v>
      </c>
      <c r="X39" s="99">
        <f t="shared" si="7"/>
        <v>0</v>
      </c>
      <c r="Y39" s="99">
        <f t="shared" si="7"/>
        <v>0</v>
      </c>
      <c r="Z39" s="99">
        <f t="shared" si="7"/>
        <v>0</v>
      </c>
      <c r="AA39" s="99">
        <f t="shared" si="7"/>
        <v>0</v>
      </c>
      <c r="AB39" s="99">
        <f t="shared" si="7"/>
        <v>0</v>
      </c>
      <c r="AC39" s="99">
        <f t="shared" si="7"/>
        <v>0</v>
      </c>
      <c r="AD39" s="99">
        <f t="shared" si="7"/>
        <v>0</v>
      </c>
      <c r="AE39" s="99">
        <f t="shared" si="7"/>
        <v>0</v>
      </c>
      <c r="AF39" s="99"/>
      <c r="AG39" s="99">
        <f t="shared" si="1"/>
        <v>62.5</v>
      </c>
      <c r="AH39" s="99">
        <f>AH33-AH34-AH36-AH38-AH35-AH37</f>
        <v>136.00000000000023</v>
      </c>
      <c r="AJ39" s="102"/>
    </row>
    <row r="40" spans="1:36" s="101" customFormat="1" ht="15" customHeight="1">
      <c r="A40" s="97" t="s">
        <v>29</v>
      </c>
      <c r="B40" s="98">
        <v>1395.3</v>
      </c>
      <c r="C40" s="98">
        <v>312.10000000000036</v>
      </c>
      <c r="D40" s="99"/>
      <c r="E40" s="99"/>
      <c r="F40" s="99"/>
      <c r="G40" s="99"/>
      <c r="H40" s="99"/>
      <c r="I40" s="99">
        <v>402.3</v>
      </c>
      <c r="J40" s="99">
        <v>20.1</v>
      </c>
      <c r="K40" s="99"/>
      <c r="L40" s="99"/>
      <c r="M40" s="99">
        <v>0.2</v>
      </c>
      <c r="N40" s="99">
        <v>4.4</v>
      </c>
      <c r="O40" s="99">
        <v>30.8</v>
      </c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>
        <f t="shared" si="1"/>
        <v>457.8</v>
      </c>
      <c r="AH40" s="99">
        <f aca="true" t="shared" si="8" ref="AH40:AH45">B40+C40-AG40</f>
        <v>1249.6000000000004</v>
      </c>
      <c r="AJ40" s="102"/>
    </row>
    <row r="41" spans="1:36" s="101" customFormat="1" ht="15.75">
      <c r="A41" s="103" t="s">
        <v>5</v>
      </c>
      <c r="B41" s="98">
        <f>1276.6-0.2</f>
        <v>1276.3999999999999</v>
      </c>
      <c r="C41" s="98">
        <v>125.59999999999991</v>
      </c>
      <c r="D41" s="99"/>
      <c r="E41" s="99"/>
      <c r="F41" s="99"/>
      <c r="G41" s="99"/>
      <c r="H41" s="99"/>
      <c r="I41" s="99">
        <v>383.6</v>
      </c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>
        <f t="shared" si="1"/>
        <v>383.6</v>
      </c>
      <c r="AH41" s="99">
        <f t="shared" si="8"/>
        <v>1018.3999999999997</v>
      </c>
      <c r="AI41" s="102"/>
      <c r="AJ41" s="102"/>
    </row>
    <row r="42" spans="1:36" s="101" customFormat="1" ht="15.75">
      <c r="A42" s="103" t="s">
        <v>3</v>
      </c>
      <c r="B42" s="98">
        <v>0</v>
      </c>
      <c r="C42" s="98">
        <v>0.9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>
        <f t="shared" si="1"/>
        <v>0</v>
      </c>
      <c r="AH42" s="99">
        <f t="shared" si="8"/>
        <v>0.9</v>
      </c>
      <c r="AJ42" s="102"/>
    </row>
    <row r="43" spans="1:36" s="101" customFormat="1" ht="15.75">
      <c r="A43" s="103" t="s">
        <v>1</v>
      </c>
      <c r="B43" s="98">
        <v>10.8</v>
      </c>
      <c r="C43" s="98">
        <v>2.5000000000000018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>
        <v>9.5</v>
      </c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>
        <f t="shared" si="1"/>
        <v>9.5</v>
      </c>
      <c r="AH43" s="99">
        <f t="shared" si="8"/>
        <v>3.8000000000000025</v>
      </c>
      <c r="AJ43" s="102"/>
    </row>
    <row r="44" spans="1:36" s="101" customFormat="1" ht="15.75">
      <c r="A44" s="103" t="s">
        <v>2</v>
      </c>
      <c r="B44" s="98">
        <v>74.9</v>
      </c>
      <c r="C44" s="98">
        <v>174.30000000000004</v>
      </c>
      <c r="D44" s="99"/>
      <c r="E44" s="99"/>
      <c r="F44" s="99"/>
      <c r="G44" s="99"/>
      <c r="H44" s="99"/>
      <c r="I44" s="99">
        <v>11.6</v>
      </c>
      <c r="J44" s="99">
        <v>20.1</v>
      </c>
      <c r="K44" s="99"/>
      <c r="L44" s="99"/>
      <c r="M44" s="99">
        <v>0.2</v>
      </c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>
        <f t="shared" si="1"/>
        <v>31.900000000000002</v>
      </c>
      <c r="AH44" s="99">
        <f t="shared" si="8"/>
        <v>217.30000000000004</v>
      </c>
      <c r="AJ44" s="102"/>
    </row>
    <row r="45" spans="1:36" s="101" customFormat="1" ht="15.75" hidden="1">
      <c r="A45" s="103" t="s">
        <v>15</v>
      </c>
      <c r="B45" s="98"/>
      <c r="C45" s="98">
        <v>0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>
        <f t="shared" si="1"/>
        <v>0</v>
      </c>
      <c r="AH45" s="99">
        <f t="shared" si="8"/>
        <v>0</v>
      </c>
      <c r="AJ45" s="102"/>
    </row>
    <row r="46" spans="1:36" s="101" customFormat="1" ht="15.75">
      <c r="A46" s="103" t="s">
        <v>23</v>
      </c>
      <c r="B46" s="98">
        <f aca="true" t="shared" si="9" ref="B46:AE46">B40-B41-B42-B43-B44-B45</f>
        <v>33.20000000000009</v>
      </c>
      <c r="C46" s="98">
        <v>8.80000000000041</v>
      </c>
      <c r="D46" s="99">
        <f t="shared" si="9"/>
        <v>0</v>
      </c>
      <c r="E46" s="99">
        <f t="shared" si="9"/>
        <v>0</v>
      </c>
      <c r="F46" s="99">
        <f t="shared" si="9"/>
        <v>0</v>
      </c>
      <c r="G46" s="99">
        <f t="shared" si="9"/>
        <v>0</v>
      </c>
      <c r="H46" s="99">
        <f>H40-H41-H42-H43-H44-H45</f>
        <v>0</v>
      </c>
      <c r="I46" s="99">
        <f t="shared" si="9"/>
        <v>7.099999999999989</v>
      </c>
      <c r="J46" s="99">
        <f t="shared" si="9"/>
        <v>0</v>
      </c>
      <c r="K46" s="99">
        <f t="shared" si="9"/>
        <v>0</v>
      </c>
      <c r="L46" s="99">
        <f t="shared" si="9"/>
        <v>0</v>
      </c>
      <c r="M46" s="99">
        <f t="shared" si="9"/>
        <v>0</v>
      </c>
      <c r="N46" s="99">
        <f t="shared" si="9"/>
        <v>4.4</v>
      </c>
      <c r="O46" s="99">
        <f t="shared" si="9"/>
        <v>21.3</v>
      </c>
      <c r="P46" s="99">
        <f t="shared" si="9"/>
        <v>0</v>
      </c>
      <c r="Q46" s="99">
        <f t="shared" si="9"/>
        <v>0</v>
      </c>
      <c r="R46" s="99">
        <f t="shared" si="9"/>
        <v>0</v>
      </c>
      <c r="S46" s="99">
        <f t="shared" si="9"/>
        <v>0</v>
      </c>
      <c r="T46" s="99">
        <f t="shared" si="9"/>
        <v>0</v>
      </c>
      <c r="U46" s="99">
        <f t="shared" si="9"/>
        <v>0</v>
      </c>
      <c r="V46" s="99">
        <f t="shared" si="9"/>
        <v>0</v>
      </c>
      <c r="W46" s="99">
        <f t="shared" si="9"/>
        <v>0</v>
      </c>
      <c r="X46" s="99">
        <f t="shared" si="9"/>
        <v>0</v>
      </c>
      <c r="Y46" s="99">
        <f t="shared" si="9"/>
        <v>0</v>
      </c>
      <c r="Z46" s="99">
        <f t="shared" si="9"/>
        <v>0</v>
      </c>
      <c r="AA46" s="99">
        <f t="shared" si="9"/>
        <v>0</v>
      </c>
      <c r="AB46" s="99">
        <f t="shared" si="9"/>
        <v>0</v>
      </c>
      <c r="AC46" s="99">
        <f t="shared" si="9"/>
        <v>0</v>
      </c>
      <c r="AD46" s="99">
        <f t="shared" si="9"/>
        <v>0</v>
      </c>
      <c r="AE46" s="99">
        <f t="shared" si="9"/>
        <v>0</v>
      </c>
      <c r="AF46" s="99"/>
      <c r="AG46" s="99">
        <f t="shared" si="1"/>
        <v>32.79999999999999</v>
      </c>
      <c r="AH46" s="99">
        <f>AH40-AH41-AH42-AH43-AH44-AH45</f>
        <v>9.200000000000557</v>
      </c>
      <c r="AJ46" s="102"/>
    </row>
    <row r="47" spans="1:36" s="101" customFormat="1" ht="17.25" customHeight="1">
      <c r="A47" s="97" t="s">
        <v>43</v>
      </c>
      <c r="B47" s="104">
        <f>6656.1-61.7-2400</f>
        <v>4194.400000000001</v>
      </c>
      <c r="C47" s="98">
        <f>3586.9+100</f>
        <v>3686.9</v>
      </c>
      <c r="D47" s="99"/>
      <c r="E47" s="113">
        <v>0</v>
      </c>
      <c r="F47" s="113">
        <v>11</v>
      </c>
      <c r="G47" s="113">
        <v>256</v>
      </c>
      <c r="H47" s="113">
        <v>1932.3</v>
      </c>
      <c r="I47" s="113">
        <v>55.7</v>
      </c>
      <c r="J47" s="113">
        <v>89.6</v>
      </c>
      <c r="K47" s="113"/>
      <c r="L47" s="113">
        <v>226.4</v>
      </c>
      <c r="M47" s="113">
        <v>270.6</v>
      </c>
      <c r="N47" s="113">
        <v>59.6</v>
      </c>
      <c r="O47" s="113">
        <v>10</v>
      </c>
      <c r="P47" s="113">
        <v>1805.8</v>
      </c>
      <c r="Q47" s="113">
        <v>11.7</v>
      </c>
      <c r="R47" s="113">
        <v>1.4</v>
      </c>
      <c r="S47" s="113">
        <v>98.5</v>
      </c>
      <c r="T47" s="113">
        <v>184.6</v>
      </c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99">
        <f t="shared" si="1"/>
        <v>5013.2</v>
      </c>
      <c r="AH47" s="99">
        <f>B47+C47-AG47</f>
        <v>2868.1000000000013</v>
      </c>
      <c r="AJ47" s="102"/>
    </row>
    <row r="48" spans="1:36" s="101" customFormat="1" ht="15.75">
      <c r="A48" s="103" t="s">
        <v>5</v>
      </c>
      <c r="B48" s="98">
        <f>1640-B34-B41-0.4</f>
        <v>54.30000000000005</v>
      </c>
      <c r="C48" s="98">
        <v>89.5</v>
      </c>
      <c r="D48" s="99"/>
      <c r="E48" s="113"/>
      <c r="F48" s="113"/>
      <c r="G48" s="113"/>
      <c r="H48" s="113"/>
      <c r="I48" s="113"/>
      <c r="J48" s="113"/>
      <c r="K48" s="113"/>
      <c r="L48" s="113">
        <v>40.4</v>
      </c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99">
        <f t="shared" si="1"/>
        <v>40.4</v>
      </c>
      <c r="AH48" s="99">
        <f>B48+C48-AG48</f>
        <v>103.40000000000003</v>
      </c>
      <c r="AJ48" s="102"/>
    </row>
    <row r="49" spans="1:36" s="101" customFormat="1" ht="15.75">
      <c r="A49" s="103" t="s">
        <v>16</v>
      </c>
      <c r="B49" s="98">
        <f>5749.5-0.2-61.7-1500</f>
        <v>4187.6</v>
      </c>
      <c r="C49" s="98">
        <v>1910.300000000001</v>
      </c>
      <c r="D49" s="99"/>
      <c r="E49" s="99"/>
      <c r="F49" s="99"/>
      <c r="G49" s="99">
        <v>235.8</v>
      </c>
      <c r="H49" s="99">
        <v>1919</v>
      </c>
      <c r="I49" s="99">
        <v>31.6</v>
      </c>
      <c r="J49" s="99"/>
      <c r="K49" s="99"/>
      <c r="L49" s="99">
        <v>186</v>
      </c>
      <c r="M49" s="99">
        <v>56.4</v>
      </c>
      <c r="N49" s="99">
        <v>59.6</v>
      </c>
      <c r="O49" s="99">
        <v>10</v>
      </c>
      <c r="P49" s="99">
        <v>1790.4</v>
      </c>
      <c r="Q49" s="99">
        <v>11.7</v>
      </c>
      <c r="R49" s="99">
        <v>1.4</v>
      </c>
      <c r="S49" s="99">
        <v>98.5</v>
      </c>
      <c r="T49" s="99">
        <v>100</v>
      </c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>
        <f t="shared" si="1"/>
        <v>4500.4</v>
      </c>
      <c r="AH49" s="99">
        <f>B49+C49-AG49</f>
        <v>1597.5000000000018</v>
      </c>
      <c r="AJ49" s="102"/>
    </row>
    <row r="50" spans="1:36" s="101" customFormat="1" ht="30" hidden="1">
      <c r="A50" s="114" t="s">
        <v>34</v>
      </c>
      <c r="B50" s="98"/>
      <c r="C50" s="98">
        <v>0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>
        <f t="shared" si="1"/>
        <v>0</v>
      </c>
      <c r="AH50" s="99">
        <f>B50+C50-AG50</f>
        <v>0</v>
      </c>
      <c r="AJ50" s="102"/>
    </row>
    <row r="51" spans="1:36" s="101" customFormat="1" ht="15.75">
      <c r="A51" s="115" t="s">
        <v>23</v>
      </c>
      <c r="B51" s="98">
        <f aca="true" t="shared" si="10" ref="B51:AE51">B47-B48-B49</f>
        <v>-47.5</v>
      </c>
      <c r="C51" s="98">
        <v>1587.1000000000013</v>
      </c>
      <c r="D51" s="99">
        <f t="shared" si="10"/>
        <v>0</v>
      </c>
      <c r="E51" s="99">
        <f t="shared" si="10"/>
        <v>0</v>
      </c>
      <c r="F51" s="99">
        <f t="shared" si="10"/>
        <v>11</v>
      </c>
      <c r="G51" s="99">
        <f t="shared" si="10"/>
        <v>20.19999999999999</v>
      </c>
      <c r="H51" s="99">
        <f>H47-H48-H49</f>
        <v>13.299999999999955</v>
      </c>
      <c r="I51" s="99">
        <f t="shared" si="10"/>
        <v>24.1</v>
      </c>
      <c r="J51" s="99">
        <f t="shared" si="10"/>
        <v>89.6</v>
      </c>
      <c r="K51" s="99">
        <f t="shared" si="10"/>
        <v>0</v>
      </c>
      <c r="L51" s="99">
        <f t="shared" si="10"/>
        <v>0</v>
      </c>
      <c r="M51" s="99">
        <f t="shared" si="10"/>
        <v>214.20000000000002</v>
      </c>
      <c r="N51" s="99">
        <f t="shared" si="10"/>
        <v>0</v>
      </c>
      <c r="O51" s="99">
        <f t="shared" si="10"/>
        <v>0</v>
      </c>
      <c r="P51" s="99">
        <f t="shared" si="10"/>
        <v>15.399999999999864</v>
      </c>
      <c r="Q51" s="99">
        <f t="shared" si="10"/>
        <v>0</v>
      </c>
      <c r="R51" s="99">
        <f t="shared" si="10"/>
        <v>0</v>
      </c>
      <c r="S51" s="99">
        <f t="shared" si="10"/>
        <v>0</v>
      </c>
      <c r="T51" s="99">
        <f t="shared" si="10"/>
        <v>84.6</v>
      </c>
      <c r="U51" s="99">
        <f t="shared" si="10"/>
        <v>0</v>
      </c>
      <c r="V51" s="99">
        <f t="shared" si="10"/>
        <v>0</v>
      </c>
      <c r="W51" s="99">
        <f t="shared" si="10"/>
        <v>0</v>
      </c>
      <c r="X51" s="99">
        <f t="shared" si="10"/>
        <v>0</v>
      </c>
      <c r="Y51" s="99">
        <f t="shared" si="10"/>
        <v>0</v>
      </c>
      <c r="Z51" s="99">
        <f t="shared" si="10"/>
        <v>0</v>
      </c>
      <c r="AA51" s="99">
        <f t="shared" si="10"/>
        <v>0</v>
      </c>
      <c r="AB51" s="99">
        <f t="shared" si="10"/>
        <v>0</v>
      </c>
      <c r="AC51" s="99">
        <f t="shared" si="10"/>
        <v>0</v>
      </c>
      <c r="AD51" s="99">
        <f t="shared" si="10"/>
        <v>0</v>
      </c>
      <c r="AE51" s="99">
        <f t="shared" si="10"/>
        <v>0</v>
      </c>
      <c r="AF51" s="99"/>
      <c r="AG51" s="99">
        <f t="shared" si="1"/>
        <v>472.39999999999986</v>
      </c>
      <c r="AH51" s="99">
        <f>AH47-AH49-AH48</f>
        <v>1167.1999999999994</v>
      </c>
      <c r="AJ51" s="102"/>
    </row>
    <row r="52" spans="1:36" s="101" customFormat="1" ht="15" customHeight="1">
      <c r="A52" s="97" t="s">
        <v>0</v>
      </c>
      <c r="B52" s="98">
        <f>8905-49.5-900-1300</f>
        <v>6655.5</v>
      </c>
      <c r="C52" s="98">
        <v>4215.599999999995</v>
      </c>
      <c r="D52" s="99"/>
      <c r="E52" s="99">
        <v>0</v>
      </c>
      <c r="F52" s="99">
        <v>1033.7</v>
      </c>
      <c r="G52" s="99">
        <v>299</v>
      </c>
      <c r="H52" s="99">
        <v>788.3</v>
      </c>
      <c r="I52" s="99">
        <v>504</v>
      </c>
      <c r="J52" s="99">
        <v>976.5</v>
      </c>
      <c r="K52" s="99">
        <v>145.6</v>
      </c>
      <c r="L52" s="99">
        <v>720.1</v>
      </c>
      <c r="M52" s="99">
        <v>36.3</v>
      </c>
      <c r="N52" s="99">
        <v>55.7</v>
      </c>
      <c r="O52" s="99"/>
      <c r="P52" s="99">
        <v>1776.3</v>
      </c>
      <c r="Q52" s="99">
        <v>7.4</v>
      </c>
      <c r="R52" s="99">
        <v>3</v>
      </c>
      <c r="S52" s="99"/>
      <c r="T52" s="99">
        <v>1416.6</v>
      </c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>
        <f t="shared" si="1"/>
        <v>7762.5</v>
      </c>
      <c r="AH52" s="99">
        <f aca="true" t="shared" si="11" ref="AH52:AH59">B52+C52-AG52</f>
        <v>3108.599999999995</v>
      </c>
      <c r="AJ52" s="102"/>
    </row>
    <row r="53" spans="1:36" s="101" customFormat="1" ht="15" customHeight="1">
      <c r="A53" s="103" t="s">
        <v>2</v>
      </c>
      <c r="B53" s="98">
        <f>1178.5-600</f>
        <v>578.5</v>
      </c>
      <c r="C53" s="98">
        <v>1234.2999999999997</v>
      </c>
      <c r="D53" s="99"/>
      <c r="E53" s="99">
        <v>0</v>
      </c>
      <c r="F53" s="99">
        <v>1033.7</v>
      </c>
      <c r="G53" s="99"/>
      <c r="H53" s="99"/>
      <c r="I53" s="99"/>
      <c r="J53" s="99">
        <v>0.3</v>
      </c>
      <c r="K53" s="99"/>
      <c r="L53" s="99">
        <v>164.7</v>
      </c>
      <c r="M53" s="99"/>
      <c r="N53" s="99"/>
      <c r="O53" s="99"/>
      <c r="P53" s="99"/>
      <c r="Q53" s="99"/>
      <c r="R53" s="99"/>
      <c r="S53" s="99"/>
      <c r="T53" s="99">
        <v>461.5</v>
      </c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>
        <f t="shared" si="1"/>
        <v>1660.2</v>
      </c>
      <c r="AH53" s="99">
        <f t="shared" si="11"/>
        <v>152.59999999999968</v>
      </c>
      <c r="AJ53" s="102"/>
    </row>
    <row r="54" spans="1:36" s="101" customFormat="1" ht="15" customHeight="1">
      <c r="A54" s="97" t="s">
        <v>9</v>
      </c>
      <c r="B54" s="112">
        <v>2621.8</v>
      </c>
      <c r="C54" s="98">
        <v>946.4999999999995</v>
      </c>
      <c r="D54" s="99"/>
      <c r="E54" s="99"/>
      <c r="F54" s="99">
        <v>185.8</v>
      </c>
      <c r="G54" s="99"/>
      <c r="H54" s="99">
        <v>167.7</v>
      </c>
      <c r="I54" s="99">
        <v>21.7</v>
      </c>
      <c r="J54" s="99"/>
      <c r="K54" s="99">
        <v>135.6</v>
      </c>
      <c r="L54" s="99">
        <v>509</v>
      </c>
      <c r="M54" s="99">
        <v>5.2</v>
      </c>
      <c r="N54" s="99">
        <v>212.9</v>
      </c>
      <c r="O54" s="99"/>
      <c r="P54" s="99">
        <v>78.3</v>
      </c>
      <c r="Q54" s="99"/>
      <c r="R54" s="99">
        <v>42</v>
      </c>
      <c r="S54" s="99">
        <v>36.8</v>
      </c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>
        <f t="shared" si="1"/>
        <v>1395</v>
      </c>
      <c r="AH54" s="99">
        <f t="shared" si="11"/>
        <v>2173.2999999999997</v>
      </c>
      <c r="AI54" s="102"/>
      <c r="AJ54" s="102"/>
    </row>
    <row r="55" spans="1:36" s="101" customFormat="1" ht="15.75">
      <c r="A55" s="103" t="s">
        <v>5</v>
      </c>
      <c r="B55" s="98">
        <f>1249-0.1</f>
        <v>1248.9</v>
      </c>
      <c r="C55" s="98">
        <v>285.39999999999986</v>
      </c>
      <c r="D55" s="99"/>
      <c r="E55" s="99"/>
      <c r="F55" s="99"/>
      <c r="G55" s="99"/>
      <c r="H55" s="99"/>
      <c r="I55" s="99">
        <v>14.3</v>
      </c>
      <c r="J55" s="99"/>
      <c r="K55" s="99">
        <v>100.6</v>
      </c>
      <c r="L55" s="99">
        <v>400.5</v>
      </c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>
        <f t="shared" si="1"/>
        <v>515.4</v>
      </c>
      <c r="AH55" s="99">
        <f t="shared" si="11"/>
        <v>1018.9</v>
      </c>
      <c r="AI55" s="102"/>
      <c r="AJ55" s="102"/>
    </row>
    <row r="56" spans="1:36" s="101" customFormat="1" ht="15" customHeight="1">
      <c r="A56" s="103" t="s">
        <v>1</v>
      </c>
      <c r="B56" s="98">
        <v>27.5</v>
      </c>
      <c r="C56" s="98">
        <v>0</v>
      </c>
      <c r="D56" s="99"/>
      <c r="E56" s="99"/>
      <c r="F56" s="99"/>
      <c r="G56" s="99"/>
      <c r="H56" s="99"/>
      <c r="I56" s="99"/>
      <c r="J56" s="99"/>
      <c r="K56" s="99">
        <v>26.2</v>
      </c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>
        <f t="shared" si="1"/>
        <v>26.2</v>
      </c>
      <c r="AH56" s="99">
        <f t="shared" si="11"/>
        <v>1.3000000000000007</v>
      </c>
      <c r="AI56" s="102"/>
      <c r="AJ56" s="102"/>
    </row>
    <row r="57" spans="1:36" s="101" customFormat="1" ht="15.75">
      <c r="A57" s="103" t="s">
        <v>2</v>
      </c>
      <c r="B57" s="104">
        <v>20.4</v>
      </c>
      <c r="C57" s="98">
        <v>265.99999999999994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>
        <v>12.2</v>
      </c>
      <c r="S57" s="99">
        <v>25.8</v>
      </c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>
        <f t="shared" si="1"/>
        <v>38</v>
      </c>
      <c r="AH57" s="99">
        <f t="shared" si="11"/>
        <v>248.39999999999992</v>
      </c>
      <c r="AJ57" s="102"/>
    </row>
    <row r="58" spans="1:36" s="101" customFormat="1" ht="15.75">
      <c r="A58" s="103" t="s">
        <v>16</v>
      </c>
      <c r="B58" s="104">
        <v>36.8</v>
      </c>
      <c r="C58" s="98">
        <v>25.699999999999996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>
        <f t="shared" si="1"/>
        <v>0</v>
      </c>
      <c r="AH58" s="99">
        <f t="shared" si="11"/>
        <v>62.49999999999999</v>
      </c>
      <c r="AJ58" s="102"/>
    </row>
    <row r="59" spans="1:36" s="101" customFormat="1" ht="15.75" hidden="1">
      <c r="A59" s="103" t="s">
        <v>15</v>
      </c>
      <c r="B59" s="98"/>
      <c r="C59" s="98">
        <v>0</v>
      </c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>
        <f t="shared" si="1"/>
        <v>0</v>
      </c>
      <c r="AH59" s="99">
        <f t="shared" si="11"/>
        <v>0</v>
      </c>
      <c r="AJ59" s="102"/>
    </row>
    <row r="60" spans="1:36" s="101" customFormat="1" ht="15.75">
      <c r="A60" s="103" t="s">
        <v>23</v>
      </c>
      <c r="B60" s="98">
        <f aca="true" t="shared" si="12" ref="B60:AE60">B54-B55-B57-B59-B56-B58</f>
        <v>1288.2</v>
      </c>
      <c r="C60" s="98">
        <v>369.39999999999975</v>
      </c>
      <c r="D60" s="99">
        <f t="shared" si="12"/>
        <v>0</v>
      </c>
      <c r="E60" s="99">
        <f t="shared" si="12"/>
        <v>0</v>
      </c>
      <c r="F60" s="99">
        <f t="shared" si="12"/>
        <v>185.8</v>
      </c>
      <c r="G60" s="99">
        <f t="shared" si="12"/>
        <v>0</v>
      </c>
      <c r="H60" s="99">
        <f>H54-H55-H57-H59-H56-H58</f>
        <v>167.7</v>
      </c>
      <c r="I60" s="99">
        <f t="shared" si="12"/>
        <v>7.399999999999999</v>
      </c>
      <c r="J60" s="99">
        <f t="shared" si="12"/>
        <v>0</v>
      </c>
      <c r="K60" s="99">
        <f t="shared" si="12"/>
        <v>8.8</v>
      </c>
      <c r="L60" s="99">
        <f t="shared" si="12"/>
        <v>108.5</v>
      </c>
      <c r="M60" s="99">
        <f t="shared" si="12"/>
        <v>5.2</v>
      </c>
      <c r="N60" s="99">
        <f t="shared" si="12"/>
        <v>212.9</v>
      </c>
      <c r="O60" s="99">
        <f t="shared" si="12"/>
        <v>0</v>
      </c>
      <c r="P60" s="99">
        <f t="shared" si="12"/>
        <v>78.3</v>
      </c>
      <c r="Q60" s="99">
        <f t="shared" si="12"/>
        <v>0</v>
      </c>
      <c r="R60" s="99">
        <f t="shared" si="12"/>
        <v>29.8</v>
      </c>
      <c r="S60" s="99">
        <f t="shared" si="12"/>
        <v>10.999999999999996</v>
      </c>
      <c r="T60" s="99">
        <f t="shared" si="12"/>
        <v>0</v>
      </c>
      <c r="U60" s="99">
        <f t="shared" si="12"/>
        <v>0</v>
      </c>
      <c r="V60" s="99">
        <f t="shared" si="12"/>
        <v>0</v>
      </c>
      <c r="W60" s="99">
        <f t="shared" si="12"/>
        <v>0</v>
      </c>
      <c r="X60" s="99">
        <f t="shared" si="12"/>
        <v>0</v>
      </c>
      <c r="Y60" s="99">
        <f t="shared" si="12"/>
        <v>0</v>
      </c>
      <c r="Z60" s="99">
        <f t="shared" si="12"/>
        <v>0</v>
      </c>
      <c r="AA60" s="99">
        <f t="shared" si="12"/>
        <v>0</v>
      </c>
      <c r="AB60" s="99">
        <f t="shared" si="12"/>
        <v>0</v>
      </c>
      <c r="AC60" s="99">
        <f t="shared" si="12"/>
        <v>0</v>
      </c>
      <c r="AD60" s="99">
        <f t="shared" si="12"/>
        <v>0</v>
      </c>
      <c r="AE60" s="99">
        <f t="shared" si="12"/>
        <v>0</v>
      </c>
      <c r="AF60" s="99"/>
      <c r="AG60" s="99">
        <f>AG54-AG55-AG57-AG59-AG56-AG58</f>
        <v>815.4</v>
      </c>
      <c r="AH60" s="99">
        <f>AH54-AH55-AH57-AH59-AH56-AH58</f>
        <v>842.1999999999998</v>
      </c>
      <c r="AJ60" s="102"/>
    </row>
    <row r="61" spans="1:36" s="101" customFormat="1" ht="15" customHeight="1">
      <c r="A61" s="97" t="s">
        <v>10</v>
      </c>
      <c r="B61" s="98">
        <v>88.9</v>
      </c>
      <c r="C61" s="98">
        <v>59.8</v>
      </c>
      <c r="D61" s="99"/>
      <c r="E61" s="99"/>
      <c r="F61" s="99"/>
      <c r="G61" s="99"/>
      <c r="H61" s="99"/>
      <c r="I61" s="99">
        <v>10</v>
      </c>
      <c r="J61" s="99"/>
      <c r="K61" s="99"/>
      <c r="L61" s="99">
        <v>10.1</v>
      </c>
      <c r="M61" s="99">
        <v>18.6</v>
      </c>
      <c r="N61" s="99"/>
      <c r="O61" s="99"/>
      <c r="P61" s="99"/>
      <c r="Q61" s="99">
        <v>9</v>
      </c>
      <c r="R61" s="99">
        <v>50.3</v>
      </c>
      <c r="S61" s="99"/>
      <c r="T61" s="99">
        <v>7</v>
      </c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>
        <f aca="true" t="shared" si="13" ref="AG61:AG92">SUM(D61:AE61)</f>
        <v>105</v>
      </c>
      <c r="AH61" s="99">
        <f aca="true" t="shared" si="14" ref="AH61:AH67">B61+C61-AG61</f>
        <v>43.69999999999999</v>
      </c>
      <c r="AJ61" s="102"/>
    </row>
    <row r="62" spans="1:36" s="101" customFormat="1" ht="15" customHeight="1">
      <c r="A62" s="97" t="s">
        <v>11</v>
      </c>
      <c r="B62" s="98">
        <f>4807.6-0.1</f>
        <v>4807.5</v>
      </c>
      <c r="C62" s="98">
        <v>4831.4</v>
      </c>
      <c r="D62" s="99"/>
      <c r="E62" s="99"/>
      <c r="F62" s="99"/>
      <c r="G62" s="99">
        <f>111.2+0.9</f>
        <v>112.10000000000001</v>
      </c>
      <c r="H62" s="99"/>
      <c r="I62" s="99">
        <v>17.3</v>
      </c>
      <c r="J62" s="99">
        <v>739.5</v>
      </c>
      <c r="K62" s="99">
        <v>444.4</v>
      </c>
      <c r="L62" s="99">
        <v>20.9</v>
      </c>
      <c r="M62" s="99">
        <v>23.9</v>
      </c>
      <c r="N62" s="99"/>
      <c r="O62" s="99"/>
      <c r="P62" s="99">
        <v>170.6</v>
      </c>
      <c r="Q62" s="99">
        <v>0.2</v>
      </c>
      <c r="R62" s="99"/>
      <c r="S62" s="99">
        <v>2.6</v>
      </c>
      <c r="T62" s="99">
        <v>429.3</v>
      </c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>
        <f t="shared" si="13"/>
        <v>1960.8</v>
      </c>
      <c r="AH62" s="99">
        <f t="shared" si="14"/>
        <v>7678.099999999999</v>
      </c>
      <c r="AJ62" s="102"/>
    </row>
    <row r="63" spans="1:36" s="101" customFormat="1" ht="15.75">
      <c r="A63" s="103" t="s">
        <v>5</v>
      </c>
      <c r="B63" s="98">
        <v>2514</v>
      </c>
      <c r="C63" s="98">
        <v>1047</v>
      </c>
      <c r="D63" s="99"/>
      <c r="E63" s="99"/>
      <c r="F63" s="99"/>
      <c r="G63" s="99"/>
      <c r="H63" s="99"/>
      <c r="I63" s="99">
        <v>17.3</v>
      </c>
      <c r="J63" s="99">
        <v>739.5</v>
      </c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>
        <f t="shared" si="13"/>
        <v>756.8</v>
      </c>
      <c r="AH63" s="99">
        <f t="shared" si="14"/>
        <v>2804.2</v>
      </c>
      <c r="AI63" s="116"/>
      <c r="AJ63" s="102"/>
    </row>
    <row r="64" spans="1:36" s="101" customFormat="1" ht="15.75" hidden="1">
      <c r="A64" s="103" t="s">
        <v>3</v>
      </c>
      <c r="B64" s="98"/>
      <c r="C64" s="98">
        <v>0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>
        <f t="shared" si="13"/>
        <v>0</v>
      </c>
      <c r="AH64" s="99">
        <f t="shared" si="14"/>
        <v>0</v>
      </c>
      <c r="AI64" s="102"/>
      <c r="AJ64" s="102"/>
    </row>
    <row r="65" spans="1:36" s="101" customFormat="1" ht="15.75">
      <c r="A65" s="103" t="s">
        <v>1</v>
      </c>
      <c r="B65" s="98">
        <f>377.8+0.1-3.1</f>
        <v>374.8</v>
      </c>
      <c r="C65" s="98">
        <v>569.9000000000001</v>
      </c>
      <c r="D65" s="99"/>
      <c r="E65" s="99"/>
      <c r="F65" s="99"/>
      <c r="G65" s="99"/>
      <c r="H65" s="99"/>
      <c r="I65" s="99"/>
      <c r="J65" s="99"/>
      <c r="K65" s="99">
        <v>84</v>
      </c>
      <c r="L65" s="99">
        <v>7.3</v>
      </c>
      <c r="M65" s="99"/>
      <c r="N65" s="99"/>
      <c r="O65" s="99"/>
      <c r="P65" s="99">
        <v>8.9</v>
      </c>
      <c r="Q65" s="99">
        <v>0.2</v>
      </c>
      <c r="R65" s="99"/>
      <c r="S65" s="99"/>
      <c r="T65" s="99">
        <v>110.8</v>
      </c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>
        <f t="shared" si="13"/>
        <v>211.2</v>
      </c>
      <c r="AH65" s="99">
        <f t="shared" si="14"/>
        <v>733.5</v>
      </c>
      <c r="AI65" s="102"/>
      <c r="AJ65" s="102"/>
    </row>
    <row r="66" spans="1:36" s="101" customFormat="1" ht="15.75">
      <c r="A66" s="103" t="s">
        <v>2</v>
      </c>
      <c r="B66" s="98">
        <f>50.6</f>
        <v>50.6</v>
      </c>
      <c r="C66" s="98">
        <f>139.5+3.7</f>
        <v>143.2</v>
      </c>
      <c r="D66" s="99"/>
      <c r="E66" s="99"/>
      <c r="F66" s="99"/>
      <c r="G66" s="99">
        <f>23+1</f>
        <v>24</v>
      </c>
      <c r="H66" s="99"/>
      <c r="I66" s="99"/>
      <c r="J66" s="99"/>
      <c r="K66" s="99">
        <v>16.4</v>
      </c>
      <c r="L66" s="99"/>
      <c r="M66" s="99"/>
      <c r="N66" s="99"/>
      <c r="O66" s="99"/>
      <c r="P66" s="99">
        <v>1</v>
      </c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>
        <f t="shared" si="13"/>
        <v>41.4</v>
      </c>
      <c r="AH66" s="99">
        <f t="shared" si="14"/>
        <v>152.39999999999998</v>
      </c>
      <c r="AJ66" s="102"/>
    </row>
    <row r="67" spans="1:36" s="101" customFormat="1" ht="15.75">
      <c r="A67" s="103" t="s">
        <v>16</v>
      </c>
      <c r="B67" s="98">
        <v>68</v>
      </c>
      <c r="C67" s="98">
        <v>742</v>
      </c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>
        <v>245</v>
      </c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>
        <f t="shared" si="13"/>
        <v>245</v>
      </c>
      <c r="AH67" s="99">
        <f t="shared" si="14"/>
        <v>565</v>
      </c>
      <c r="AJ67" s="102"/>
    </row>
    <row r="68" spans="1:36" s="101" customFormat="1" ht="15.75">
      <c r="A68" s="103" t="s">
        <v>23</v>
      </c>
      <c r="B68" s="98">
        <f aca="true" t="shared" si="15" ref="B68:AE68">B62-B63-B66-B67-B65-B64</f>
        <v>1800.1000000000001</v>
      </c>
      <c r="C68" s="98">
        <v>2332.9999999999995</v>
      </c>
      <c r="D68" s="99">
        <f t="shared" si="15"/>
        <v>0</v>
      </c>
      <c r="E68" s="99">
        <f t="shared" si="15"/>
        <v>0</v>
      </c>
      <c r="F68" s="99">
        <f t="shared" si="15"/>
        <v>0</v>
      </c>
      <c r="G68" s="99">
        <f t="shared" si="15"/>
        <v>88.10000000000001</v>
      </c>
      <c r="H68" s="99">
        <f>H62-H63-H66-H67-H65-H64</f>
        <v>0</v>
      </c>
      <c r="I68" s="99">
        <f t="shared" si="15"/>
        <v>0</v>
      </c>
      <c r="J68" s="99">
        <f t="shared" si="15"/>
        <v>0</v>
      </c>
      <c r="K68" s="99">
        <f t="shared" si="15"/>
        <v>344</v>
      </c>
      <c r="L68" s="99">
        <f t="shared" si="15"/>
        <v>13.599999999999998</v>
      </c>
      <c r="M68" s="99">
        <f t="shared" si="15"/>
        <v>23.9</v>
      </c>
      <c r="N68" s="99">
        <f t="shared" si="15"/>
        <v>0</v>
      </c>
      <c r="O68" s="99">
        <f t="shared" si="15"/>
        <v>0</v>
      </c>
      <c r="P68" s="99">
        <f t="shared" si="15"/>
        <v>160.7</v>
      </c>
      <c r="Q68" s="99">
        <f t="shared" si="15"/>
        <v>0</v>
      </c>
      <c r="R68" s="99">
        <f t="shared" si="15"/>
        <v>0</v>
      </c>
      <c r="S68" s="99">
        <f t="shared" si="15"/>
        <v>2.6</v>
      </c>
      <c r="T68" s="99">
        <f t="shared" si="15"/>
        <v>73.50000000000001</v>
      </c>
      <c r="U68" s="99">
        <f t="shared" si="15"/>
        <v>0</v>
      </c>
      <c r="V68" s="99">
        <f t="shared" si="15"/>
        <v>0</v>
      </c>
      <c r="W68" s="99">
        <f t="shared" si="15"/>
        <v>0</v>
      </c>
      <c r="X68" s="99">
        <f t="shared" si="15"/>
        <v>0</v>
      </c>
      <c r="Y68" s="99">
        <f t="shared" si="15"/>
        <v>0</v>
      </c>
      <c r="Z68" s="99">
        <f t="shared" si="15"/>
        <v>0</v>
      </c>
      <c r="AA68" s="99">
        <f t="shared" si="15"/>
        <v>0</v>
      </c>
      <c r="AB68" s="99">
        <f t="shared" si="15"/>
        <v>0</v>
      </c>
      <c r="AC68" s="99">
        <f t="shared" si="15"/>
        <v>0</v>
      </c>
      <c r="AD68" s="99">
        <f t="shared" si="15"/>
        <v>0</v>
      </c>
      <c r="AE68" s="99">
        <f t="shared" si="15"/>
        <v>0</v>
      </c>
      <c r="AF68" s="99"/>
      <c r="AG68" s="99">
        <f t="shared" si="13"/>
        <v>706.4</v>
      </c>
      <c r="AH68" s="99">
        <f>AH62-AH63-AH66-AH67-AH65-AH64</f>
        <v>3423</v>
      </c>
      <c r="AJ68" s="102"/>
    </row>
    <row r="69" spans="1:36" s="101" customFormat="1" ht="31.5">
      <c r="A69" s="97" t="s">
        <v>45</v>
      </c>
      <c r="B69" s="98">
        <f>2445.1-1385</f>
        <v>1060.1</v>
      </c>
      <c r="C69" s="98">
        <f>790.7-8</f>
        <v>782.7</v>
      </c>
      <c r="D69" s="99"/>
      <c r="E69" s="99"/>
      <c r="F69" s="99">
        <v>852.4</v>
      </c>
      <c r="G69" s="99"/>
      <c r="H69" s="99"/>
      <c r="I69" s="99"/>
      <c r="J69" s="99"/>
      <c r="K69" s="99"/>
      <c r="L69" s="99"/>
      <c r="M69" s="99"/>
      <c r="N69" s="99"/>
      <c r="O69" s="99"/>
      <c r="P69" s="99">
        <v>789.7</v>
      </c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>
        <f t="shared" si="13"/>
        <v>1642.1</v>
      </c>
      <c r="AH69" s="117">
        <f aca="true" t="shared" si="16" ref="AH69:AH92">B69+C69-AG69</f>
        <v>200.70000000000005</v>
      </c>
      <c r="AJ69" s="102"/>
    </row>
    <row r="70" spans="1:36" s="101" customFormat="1" ht="15.75" hidden="1">
      <c r="A70" s="97" t="s">
        <v>32</v>
      </c>
      <c r="B70" s="98"/>
      <c r="C70" s="98">
        <v>0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>
        <f t="shared" si="13"/>
        <v>0</v>
      </c>
      <c r="AH70" s="117">
        <f t="shared" si="16"/>
        <v>0</v>
      </c>
      <c r="AJ70" s="102"/>
    </row>
    <row r="71" spans="1:51" s="101" customFormat="1" ht="31.5">
      <c r="A71" s="97" t="s">
        <v>46</v>
      </c>
      <c r="B71" s="98">
        <f>49.6+1523-1900</f>
        <v>-327.4000000000001</v>
      </c>
      <c r="C71" s="118">
        <f>2501.3-871.7</f>
        <v>1629.6000000000001</v>
      </c>
      <c r="D71" s="113"/>
      <c r="E71" s="113"/>
      <c r="F71" s="113">
        <v>36</v>
      </c>
      <c r="G71" s="113"/>
      <c r="H71" s="113"/>
      <c r="I71" s="113">
        <v>430.7</v>
      </c>
      <c r="J71" s="113"/>
      <c r="K71" s="113"/>
      <c r="L71" s="113"/>
      <c r="M71" s="113"/>
      <c r="N71" s="113"/>
      <c r="O71" s="113">
        <v>542</v>
      </c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99">
        <f t="shared" si="13"/>
        <v>1008.7</v>
      </c>
      <c r="AH71" s="117">
        <f t="shared" si="16"/>
        <v>293.5</v>
      </c>
      <c r="AI71" s="119"/>
      <c r="AJ71" s="102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</row>
    <row r="72" spans="1:36" s="101" customFormat="1" ht="15" customHeight="1">
      <c r="A72" s="97" t="s">
        <v>47</v>
      </c>
      <c r="B72" s="112">
        <f>401.1+127+427.8+80.5+473.5+109+0.2</f>
        <v>1619.1000000000001</v>
      </c>
      <c r="C72" s="98">
        <f>2095.5-100</f>
        <v>1995.5</v>
      </c>
      <c r="D72" s="99"/>
      <c r="E72" s="99"/>
      <c r="F72" s="99">
        <f>991.4-9.5-852.6</f>
        <v>129.29999999999995</v>
      </c>
      <c r="G72" s="99">
        <v>19.7</v>
      </c>
      <c r="H72" s="99">
        <v>21.9</v>
      </c>
      <c r="I72" s="99">
        <v>11</v>
      </c>
      <c r="J72" s="99">
        <v>0.3</v>
      </c>
      <c r="K72" s="99">
        <v>40.1</v>
      </c>
      <c r="L72" s="99">
        <v>0.3</v>
      </c>
      <c r="M72" s="99">
        <v>44.6</v>
      </c>
      <c r="N72" s="99"/>
      <c r="O72" s="99">
        <v>11.6</v>
      </c>
      <c r="P72" s="99"/>
      <c r="Q72" s="99"/>
      <c r="R72" s="99">
        <v>4.6</v>
      </c>
      <c r="S72" s="99"/>
      <c r="T72" s="99">
        <v>5.4</v>
      </c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>
        <f t="shared" si="13"/>
        <v>288.8</v>
      </c>
      <c r="AH72" s="117">
        <f t="shared" si="16"/>
        <v>3325.8</v>
      </c>
      <c r="AJ72" s="102"/>
    </row>
    <row r="73" spans="1:36" s="101" customFormat="1" ht="15" customHeight="1">
      <c r="A73" s="103" t="s">
        <v>5</v>
      </c>
      <c r="B73" s="98">
        <v>80.5</v>
      </c>
      <c r="C73" s="98">
        <v>0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>
        <f t="shared" si="13"/>
        <v>0</v>
      </c>
      <c r="AH73" s="117">
        <f t="shared" si="16"/>
        <v>80.5</v>
      </c>
      <c r="AJ73" s="102"/>
    </row>
    <row r="74" spans="1:36" s="101" customFormat="1" ht="15" customHeight="1">
      <c r="A74" s="103" t="s">
        <v>2</v>
      </c>
      <c r="B74" s="98">
        <f>107+31</f>
        <v>138</v>
      </c>
      <c r="C74" s="98">
        <f>467.8</f>
        <v>467.8</v>
      </c>
      <c r="D74" s="99"/>
      <c r="E74" s="99"/>
      <c r="F74" s="99">
        <f>33.9+18.5</f>
        <v>52.4</v>
      </c>
      <c r="G74" s="99"/>
      <c r="H74" s="99"/>
      <c r="I74" s="99">
        <v>1</v>
      </c>
      <c r="J74" s="99"/>
      <c r="K74" s="99">
        <f>2.3+14.5</f>
        <v>16.8</v>
      </c>
      <c r="L74" s="99"/>
      <c r="M74" s="99"/>
      <c r="N74" s="99"/>
      <c r="O74" s="99">
        <v>1.1</v>
      </c>
      <c r="P74" s="99"/>
      <c r="Q74" s="99"/>
      <c r="R74" s="99"/>
      <c r="S74" s="99"/>
      <c r="T74" s="99">
        <v>4.5</v>
      </c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>
        <f t="shared" si="13"/>
        <v>75.8</v>
      </c>
      <c r="AH74" s="117">
        <f t="shared" si="16"/>
        <v>530</v>
      </c>
      <c r="AJ74" s="102"/>
    </row>
    <row r="75" spans="1:36" s="101" customFormat="1" ht="15" customHeight="1">
      <c r="A75" s="103" t="s">
        <v>16</v>
      </c>
      <c r="B75" s="98">
        <f>15+11.6</f>
        <v>26.6</v>
      </c>
      <c r="C75" s="98">
        <f>39.5-8</f>
        <v>31.5</v>
      </c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>
        <f t="shared" si="13"/>
        <v>0</v>
      </c>
      <c r="AH75" s="117">
        <f t="shared" si="16"/>
        <v>58.1</v>
      </c>
      <c r="AJ75" s="102"/>
    </row>
    <row r="76" spans="1:36" s="121" customFormat="1" ht="15.75">
      <c r="A76" s="120" t="s">
        <v>48</v>
      </c>
      <c r="B76" s="98">
        <v>189.9</v>
      </c>
      <c r="C76" s="98">
        <v>32.79999999999998</v>
      </c>
      <c r="D76" s="99"/>
      <c r="E76" s="113"/>
      <c r="F76" s="113"/>
      <c r="G76" s="113"/>
      <c r="H76" s="113"/>
      <c r="I76" s="113">
        <v>18.6</v>
      </c>
      <c r="J76" s="113"/>
      <c r="K76" s="113"/>
      <c r="L76" s="113"/>
      <c r="M76" s="113"/>
      <c r="N76" s="113">
        <v>51.1</v>
      </c>
      <c r="O76" s="113"/>
      <c r="P76" s="113">
        <v>12</v>
      </c>
      <c r="Q76" s="113"/>
      <c r="R76" s="113">
        <v>15.7</v>
      </c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99">
        <f t="shared" si="13"/>
        <v>97.4</v>
      </c>
      <c r="AH76" s="117">
        <f t="shared" si="16"/>
        <v>125.29999999999998</v>
      </c>
      <c r="AJ76" s="102"/>
    </row>
    <row r="77" spans="1:36" s="121" customFormat="1" ht="15.75">
      <c r="A77" s="103" t="s">
        <v>5</v>
      </c>
      <c r="B77" s="98">
        <f>135.6+0.1</f>
        <v>135.7</v>
      </c>
      <c r="C77" s="98">
        <v>6.5</v>
      </c>
      <c r="D77" s="99"/>
      <c r="E77" s="113"/>
      <c r="F77" s="113"/>
      <c r="G77" s="113"/>
      <c r="H77" s="113"/>
      <c r="I77" s="113">
        <v>16.1</v>
      </c>
      <c r="J77" s="113"/>
      <c r="K77" s="113"/>
      <c r="L77" s="113"/>
      <c r="M77" s="113"/>
      <c r="N77" s="113">
        <v>47.6</v>
      </c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99">
        <f t="shared" si="13"/>
        <v>63.7</v>
      </c>
      <c r="AH77" s="117">
        <f t="shared" si="16"/>
        <v>78.49999999999999</v>
      </c>
      <c r="AJ77" s="102"/>
    </row>
    <row r="78" spans="1:36" s="121" customFormat="1" ht="15.75" hidden="1">
      <c r="A78" s="103" t="s">
        <v>3</v>
      </c>
      <c r="B78" s="98"/>
      <c r="C78" s="98">
        <v>0</v>
      </c>
      <c r="D78" s="99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99">
        <f t="shared" si="13"/>
        <v>0</v>
      </c>
      <c r="AH78" s="117">
        <f t="shared" si="16"/>
        <v>0</v>
      </c>
      <c r="AJ78" s="102"/>
    </row>
    <row r="79" spans="1:36" s="121" customFormat="1" ht="15.75" hidden="1">
      <c r="A79" s="103" t="s">
        <v>1</v>
      </c>
      <c r="B79" s="98"/>
      <c r="C79" s="98">
        <v>0</v>
      </c>
      <c r="D79" s="99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99">
        <f t="shared" si="13"/>
        <v>0</v>
      </c>
      <c r="AH79" s="117">
        <f t="shared" si="16"/>
        <v>0</v>
      </c>
      <c r="AJ79" s="102"/>
    </row>
    <row r="80" spans="1:36" s="121" customFormat="1" ht="15.75">
      <c r="A80" s="103" t="s">
        <v>2</v>
      </c>
      <c r="B80" s="98">
        <v>0.6</v>
      </c>
      <c r="C80" s="98">
        <v>4.500000000000002</v>
      </c>
      <c r="D80" s="99"/>
      <c r="E80" s="113"/>
      <c r="F80" s="113"/>
      <c r="G80" s="113"/>
      <c r="H80" s="113"/>
      <c r="I80" s="113">
        <v>2.5</v>
      </c>
      <c r="J80" s="113"/>
      <c r="K80" s="113"/>
      <c r="L80" s="113"/>
      <c r="M80" s="113"/>
      <c r="N80" s="113">
        <v>0.1</v>
      </c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99">
        <f t="shared" si="13"/>
        <v>2.6</v>
      </c>
      <c r="AH80" s="117">
        <f t="shared" si="16"/>
        <v>2.5000000000000013</v>
      </c>
      <c r="AJ80" s="102"/>
    </row>
    <row r="81" spans="1:36" s="121" customFormat="1" ht="15.75">
      <c r="A81" s="120" t="s">
        <v>49</v>
      </c>
      <c r="B81" s="98">
        <v>0</v>
      </c>
      <c r="C81" s="118">
        <v>0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99">
        <f t="shared" si="13"/>
        <v>0</v>
      </c>
      <c r="AH81" s="117">
        <f t="shared" si="16"/>
        <v>0</v>
      </c>
      <c r="AJ81" s="102"/>
    </row>
    <row r="82" spans="1:36" s="121" customFormat="1" ht="15.75" hidden="1">
      <c r="A82" s="120" t="s">
        <v>41</v>
      </c>
      <c r="B82" s="98"/>
      <c r="C82" s="118">
        <v>0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99">
        <f t="shared" si="13"/>
        <v>0</v>
      </c>
      <c r="AH82" s="117">
        <f t="shared" si="16"/>
        <v>0</v>
      </c>
      <c r="AJ82" s="102"/>
    </row>
    <row r="83" spans="1:36" s="121" customFormat="1" ht="15.75" hidden="1">
      <c r="A83" s="120" t="s">
        <v>40</v>
      </c>
      <c r="B83" s="118"/>
      <c r="C83" s="118">
        <v>0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99">
        <f t="shared" si="13"/>
        <v>0</v>
      </c>
      <c r="AH83" s="99">
        <f t="shared" si="16"/>
        <v>0</v>
      </c>
      <c r="AJ83" s="102"/>
    </row>
    <row r="84" spans="1:36" s="121" customFormat="1" ht="15.75" hidden="1">
      <c r="A84" s="122" t="s">
        <v>21</v>
      </c>
      <c r="B84" s="98"/>
      <c r="C84" s="118">
        <v>0</v>
      </c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99">
        <f t="shared" si="13"/>
        <v>0</v>
      </c>
      <c r="AH84" s="99">
        <f t="shared" si="16"/>
        <v>0</v>
      </c>
      <c r="AJ84" s="102"/>
    </row>
    <row r="85" spans="1:36" s="121" customFormat="1" ht="15.75" hidden="1">
      <c r="A85" s="122" t="s">
        <v>22</v>
      </c>
      <c r="B85" s="98"/>
      <c r="C85" s="118">
        <v>0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99">
        <f t="shared" si="13"/>
        <v>0</v>
      </c>
      <c r="AH85" s="99">
        <f t="shared" si="16"/>
        <v>0</v>
      </c>
      <c r="AJ85" s="102"/>
    </row>
    <row r="86" spans="1:36" s="121" customFormat="1" ht="31.5" hidden="1">
      <c r="A86" s="122" t="s">
        <v>24</v>
      </c>
      <c r="B86" s="98"/>
      <c r="C86" s="118">
        <v>0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99">
        <f t="shared" si="13"/>
        <v>0</v>
      </c>
      <c r="AH86" s="99">
        <f t="shared" si="16"/>
        <v>0</v>
      </c>
      <c r="AJ86" s="102"/>
    </row>
    <row r="87" spans="1:36" s="121" customFormat="1" ht="31.5" hidden="1">
      <c r="A87" s="122" t="s">
        <v>28</v>
      </c>
      <c r="B87" s="98"/>
      <c r="C87" s="118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99">
        <f t="shared" si="13"/>
        <v>0</v>
      </c>
      <c r="AH87" s="99">
        <f t="shared" si="16"/>
        <v>0</v>
      </c>
      <c r="AJ87" s="102"/>
    </row>
    <row r="88" spans="1:36" s="101" customFormat="1" ht="15.75">
      <c r="A88" s="97" t="s">
        <v>58</v>
      </c>
      <c r="B88" s="98">
        <v>0</v>
      </c>
      <c r="C88" s="98">
        <v>0</v>
      </c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>
        <f t="shared" si="13"/>
        <v>0</v>
      </c>
      <c r="AH88" s="99">
        <f t="shared" si="16"/>
        <v>0</v>
      </c>
      <c r="AI88" s="121"/>
      <c r="AJ88" s="102"/>
    </row>
    <row r="89" spans="1:36" s="101" customFormat="1" ht="15.75">
      <c r="A89" s="97" t="s">
        <v>50</v>
      </c>
      <c r="B89" s="98">
        <f>16754.8-115.5+900+3000+4585+6000+2400</f>
        <v>33524.3</v>
      </c>
      <c r="C89" s="98">
        <v>4746.9</v>
      </c>
      <c r="D89" s="99"/>
      <c r="E89" s="99"/>
      <c r="F89" s="99">
        <v>7410.2</v>
      </c>
      <c r="G89" s="99">
        <v>1284.9</v>
      </c>
      <c r="H89" s="99"/>
      <c r="I89" s="99">
        <v>26.5</v>
      </c>
      <c r="J89" s="99">
        <v>5739.9</v>
      </c>
      <c r="K89" s="99"/>
      <c r="L89" s="99">
        <v>1034.3</v>
      </c>
      <c r="M89" s="99"/>
      <c r="N89" s="99"/>
      <c r="O89" s="99">
        <v>3540.7</v>
      </c>
      <c r="P89" s="99"/>
      <c r="Q89" s="99">
        <v>767.6</v>
      </c>
      <c r="R89" s="99">
        <v>4774.7</v>
      </c>
      <c r="S89" s="99"/>
      <c r="T89" s="99">
        <v>10767.4</v>
      </c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>
        <f t="shared" si="13"/>
        <v>35346.2</v>
      </c>
      <c r="AH89" s="99">
        <f t="shared" si="16"/>
        <v>2925.0000000000073</v>
      </c>
      <c r="AI89" s="121"/>
      <c r="AJ89" s="102"/>
    </row>
    <row r="90" spans="1:36" s="101" customFormat="1" ht="15.75">
      <c r="A90" s="97" t="s">
        <v>51</v>
      </c>
      <c r="B90" s="98">
        <v>5660.4</v>
      </c>
      <c r="C90" s="98">
        <v>0</v>
      </c>
      <c r="D90" s="99"/>
      <c r="E90" s="99"/>
      <c r="F90" s="99"/>
      <c r="G90" s="99"/>
      <c r="H90" s="99"/>
      <c r="I90" s="99"/>
      <c r="J90" s="99">
        <v>1886.8</v>
      </c>
      <c r="K90" s="99"/>
      <c r="L90" s="99"/>
      <c r="M90" s="99"/>
      <c r="N90" s="99"/>
      <c r="O90" s="99"/>
      <c r="P90" s="99"/>
      <c r="Q90" s="99">
        <v>1886.8</v>
      </c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>
        <f t="shared" si="13"/>
        <v>3773.6</v>
      </c>
      <c r="AH90" s="99">
        <f t="shared" si="16"/>
        <v>1886.7999999999997</v>
      </c>
      <c r="AI90" s="121"/>
      <c r="AJ90" s="102"/>
    </row>
    <row r="91" spans="1:36" s="101" customFormat="1" ht="15.75">
      <c r="A91" s="97" t="s">
        <v>25</v>
      </c>
      <c r="B91" s="98"/>
      <c r="C91" s="98">
        <v>100</v>
      </c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>
        <f t="shared" si="13"/>
        <v>0</v>
      </c>
      <c r="AH91" s="99">
        <f t="shared" si="16"/>
        <v>100</v>
      </c>
      <c r="AI91" s="121"/>
      <c r="AJ91" s="102"/>
    </row>
    <row r="92" spans="1:35" ht="15.75">
      <c r="A92" s="4" t="s">
        <v>37</v>
      </c>
      <c r="B92" s="22">
        <v>13414</v>
      </c>
      <c r="C92" s="22">
        <v>0.014829999996436527</v>
      </c>
      <c r="D92" s="67"/>
      <c r="E92" s="67">
        <v>10069.6</v>
      </c>
      <c r="F92" s="67"/>
      <c r="G92" s="67"/>
      <c r="H92" s="67"/>
      <c r="I92" s="67">
        <v>3344.4</v>
      </c>
      <c r="J92" s="67"/>
      <c r="K92" s="67"/>
      <c r="L92" s="67"/>
      <c r="M92" s="67"/>
      <c r="N92" s="72"/>
      <c r="O92" s="67"/>
      <c r="P92" s="67"/>
      <c r="Q92" s="67"/>
      <c r="R92" s="67"/>
      <c r="S92" s="67"/>
      <c r="T92" s="72"/>
      <c r="U92" s="72"/>
      <c r="V92" s="67"/>
      <c r="W92" s="67"/>
      <c r="X92" s="67"/>
      <c r="Y92" s="72"/>
      <c r="Z92" s="72"/>
      <c r="AA92" s="72"/>
      <c r="AB92" s="72"/>
      <c r="AC92" s="67"/>
      <c r="AD92" s="67"/>
      <c r="AE92" s="67"/>
      <c r="AF92" s="67"/>
      <c r="AG92" s="71">
        <f t="shared" si="13"/>
        <v>13414</v>
      </c>
      <c r="AH92" s="72">
        <f t="shared" si="16"/>
        <v>0.014829999996436527</v>
      </c>
      <c r="AI92" s="58"/>
    </row>
    <row r="93" spans="1:34" ht="15.75">
      <c r="A93" s="7"/>
      <c r="B93" s="22"/>
      <c r="C93" s="22"/>
      <c r="D93" s="67"/>
      <c r="E93" s="67"/>
      <c r="F93" s="67"/>
      <c r="G93" s="67"/>
      <c r="H93" s="67"/>
      <c r="I93" s="67"/>
      <c r="J93" s="67"/>
      <c r="K93" s="72"/>
      <c r="L93" s="67"/>
      <c r="M93" s="67"/>
      <c r="N93" s="72"/>
      <c r="O93" s="67"/>
      <c r="P93" s="67"/>
      <c r="Q93" s="67"/>
      <c r="R93" s="67"/>
      <c r="S93" s="67"/>
      <c r="T93" s="72"/>
      <c r="U93" s="72"/>
      <c r="V93" s="67"/>
      <c r="W93" s="67"/>
      <c r="X93" s="67"/>
      <c r="Y93" s="72"/>
      <c r="Z93" s="72"/>
      <c r="AA93" s="72"/>
      <c r="AB93" s="72"/>
      <c r="AC93" s="67"/>
      <c r="AD93" s="67"/>
      <c r="AE93" s="67"/>
      <c r="AF93" s="67"/>
      <c r="AG93" s="67"/>
      <c r="AH93" s="72"/>
    </row>
    <row r="94" spans="1:34" s="5" customFormat="1" ht="15.75">
      <c r="A94" s="7" t="s">
        <v>27</v>
      </c>
      <c r="B94" s="35">
        <f aca="true" t="shared" si="17" ref="B94:Z94">B10+B15+B24+B33+B47+B52+B54+B61+B62+B69+B71+B72+B76+B81+B82+B83+B88+B89+B90+B91+B40+B92+B70</f>
        <v>229019.09999999995</v>
      </c>
      <c r="C94" s="35">
        <f t="shared" si="17"/>
        <v>73688.91483000001</v>
      </c>
      <c r="D94" s="82">
        <f t="shared" si="17"/>
        <v>0</v>
      </c>
      <c r="E94" s="82">
        <f t="shared" si="17"/>
        <v>10633.300000000001</v>
      </c>
      <c r="F94" s="82">
        <f t="shared" si="17"/>
        <v>10038.3</v>
      </c>
      <c r="G94" s="82">
        <f t="shared" si="17"/>
        <v>3756.7</v>
      </c>
      <c r="H94" s="82">
        <f>H10+H15+H24+H33+H47+H52+H54+H61+H62+H69+H71+H72+H76+H81+H82+H83+H88+H89+H90+H91+H40+H92+H70</f>
        <v>3510.4</v>
      </c>
      <c r="I94" s="82">
        <f t="shared" si="17"/>
        <v>5282.1</v>
      </c>
      <c r="J94" s="82">
        <f t="shared" si="17"/>
        <v>13578</v>
      </c>
      <c r="K94" s="82">
        <f t="shared" si="17"/>
        <v>35166.799999999996</v>
      </c>
      <c r="L94" s="82">
        <f t="shared" si="17"/>
        <v>8076.5</v>
      </c>
      <c r="M94" s="82">
        <f t="shared" si="17"/>
        <v>3214</v>
      </c>
      <c r="N94" s="91">
        <f t="shared" si="17"/>
        <v>807.1</v>
      </c>
      <c r="O94" s="82">
        <f t="shared" si="17"/>
        <v>4867.8</v>
      </c>
      <c r="P94" s="82">
        <f t="shared" si="17"/>
        <v>7927.5</v>
      </c>
      <c r="Q94" s="82">
        <f t="shared" si="17"/>
        <v>3407.9</v>
      </c>
      <c r="R94" s="82">
        <f t="shared" si="17"/>
        <v>5663.7</v>
      </c>
      <c r="S94" s="82">
        <f t="shared" si="17"/>
        <v>1038.8</v>
      </c>
      <c r="T94" s="82">
        <f t="shared" si="17"/>
        <v>12953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 t="shared" si="17"/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>
        <f>AE10+AE15+AE24+AE33+AE47+AE52+AE54+AE61+AE62+AE69+AE71+AE72+AE76+AE81+AE82+AE83+AE88+AE89+AE90+AE91+AE40</f>
        <v>0</v>
      </c>
      <c r="AF94" s="82"/>
      <c r="AG94" s="82">
        <f>AG10+AG15+AG24+AG33+AG47+AG52+AG54+AG61+AG62+AG69+AG71+AG72+AG76+AG81+AG82+AG83+AG88+AG89+AG90+AG91+AG70+AG40+AG92</f>
        <v>129921.90000000001</v>
      </c>
      <c r="AH94" s="83">
        <f>AH10+AH15+AH24+AH33+AH47+AH52+AH54+AH61+AH62+AH69+AH71+AH72+AH76+AH81+AH82+AH83+AH88+AH89+AH90+AH91+AH70+AH40+AH92</f>
        <v>172786.11482999998</v>
      </c>
    </row>
    <row r="95" spans="1:34" ht="15.75">
      <c r="A95" s="3" t="s">
        <v>5</v>
      </c>
      <c r="B95" s="22">
        <f aca="true" t="shared" si="18" ref="B95:AE95">B11+B17+B26+B34+B55+B63+B73+B41+B77+B48</f>
        <v>117119.39999999998</v>
      </c>
      <c r="C95" s="22">
        <f t="shared" si="18"/>
        <v>11505.86</v>
      </c>
      <c r="D95" s="67">
        <f t="shared" si="18"/>
        <v>0</v>
      </c>
      <c r="E95" s="67">
        <f t="shared" si="18"/>
        <v>497.7</v>
      </c>
      <c r="F95" s="67">
        <f t="shared" si="18"/>
        <v>70.3</v>
      </c>
      <c r="G95" s="67">
        <f t="shared" si="18"/>
        <v>10.4</v>
      </c>
      <c r="H95" s="67">
        <f>H11+H17+H26+H34+H55+H63+H73+H41+H77+H48</f>
        <v>66.5</v>
      </c>
      <c r="I95" s="67">
        <f t="shared" si="18"/>
        <v>431.30000000000007</v>
      </c>
      <c r="J95" s="67">
        <f t="shared" si="18"/>
        <v>739.5</v>
      </c>
      <c r="K95" s="67">
        <f t="shared" si="18"/>
        <v>24522.9</v>
      </c>
      <c r="L95" s="67">
        <f t="shared" si="18"/>
        <v>2824.2000000000003</v>
      </c>
      <c r="M95" s="67">
        <f t="shared" si="18"/>
        <v>2098.9</v>
      </c>
      <c r="N95" s="72">
        <f t="shared" si="18"/>
        <v>47.6</v>
      </c>
      <c r="O95" s="67">
        <f t="shared" si="18"/>
        <v>101.7</v>
      </c>
      <c r="P95" s="67">
        <f t="shared" si="18"/>
        <v>0.4</v>
      </c>
      <c r="Q95" s="67">
        <f t="shared" si="18"/>
        <v>516</v>
      </c>
      <c r="R95" s="67">
        <f t="shared" si="18"/>
        <v>0</v>
      </c>
      <c r="S95" s="67">
        <f t="shared" si="18"/>
        <v>10.8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>W11+W17+W26+W34+W55+W63+W73+W41+W77+W48</f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>
        <f t="shared" si="18"/>
        <v>0</v>
      </c>
      <c r="AF95" s="67"/>
      <c r="AG95" s="67">
        <f>SUM(D95:AE95)</f>
        <v>31938.200000000004</v>
      </c>
      <c r="AH95" s="71">
        <f>B95+C95-AG95</f>
        <v>96687.05999999997</v>
      </c>
    </row>
    <row r="96" spans="1:34" ht="15.75">
      <c r="A96" s="3" t="s">
        <v>2</v>
      </c>
      <c r="B96" s="22">
        <f aca="true" t="shared" si="19" ref="B96:AE96">B12+B20+B29+B36+B57+B66+B44+B80+B74+B53</f>
        <v>-3074.3</v>
      </c>
      <c r="C96" s="22">
        <f t="shared" si="19"/>
        <v>19397.6</v>
      </c>
      <c r="D96" s="67">
        <f t="shared" si="19"/>
        <v>0</v>
      </c>
      <c r="E96" s="67">
        <f t="shared" si="19"/>
        <v>0</v>
      </c>
      <c r="F96" s="67">
        <f t="shared" si="19"/>
        <v>1086.1000000000001</v>
      </c>
      <c r="G96" s="67">
        <f t="shared" si="19"/>
        <v>641.1</v>
      </c>
      <c r="H96" s="67">
        <f>H12+H20+H29+H36+H57+H66+H44+H80+H74+H53</f>
        <v>199</v>
      </c>
      <c r="I96" s="67">
        <f t="shared" si="19"/>
        <v>126</v>
      </c>
      <c r="J96" s="67">
        <f t="shared" si="19"/>
        <v>944.5</v>
      </c>
      <c r="K96" s="67">
        <f t="shared" si="19"/>
        <v>888.8</v>
      </c>
      <c r="L96" s="67">
        <f t="shared" si="19"/>
        <v>891.8</v>
      </c>
      <c r="M96" s="67">
        <f t="shared" si="19"/>
        <v>6.2</v>
      </c>
      <c r="N96" s="72">
        <f t="shared" si="19"/>
        <v>274.1</v>
      </c>
      <c r="O96" s="67">
        <f t="shared" si="19"/>
        <v>74.19999999999999</v>
      </c>
      <c r="P96" s="67">
        <f t="shared" si="19"/>
        <v>345.9</v>
      </c>
      <c r="Q96" s="67">
        <f t="shared" si="19"/>
        <v>0</v>
      </c>
      <c r="R96" s="67">
        <f t="shared" si="19"/>
        <v>93.7</v>
      </c>
      <c r="S96" s="67">
        <f t="shared" si="19"/>
        <v>72.5</v>
      </c>
      <c r="T96" s="67">
        <f t="shared" si="19"/>
        <v>482.8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>
        <f t="shared" si="19"/>
        <v>0</v>
      </c>
      <c r="AF96" s="67"/>
      <c r="AG96" s="67">
        <f>SUM(D96:AE96)</f>
        <v>6126.7</v>
      </c>
      <c r="AH96" s="71">
        <f>B96+C96-AG96</f>
        <v>10196.599999999999</v>
      </c>
    </row>
    <row r="97" spans="1:34" ht="15.75">
      <c r="A97" s="3" t="s">
        <v>3</v>
      </c>
      <c r="B97" s="22">
        <f aca="true" t="shared" si="20" ref="B97:AB97">B18+B27+B42+B64+B78</f>
        <v>0</v>
      </c>
      <c r="C97" s="22">
        <f t="shared" si="20"/>
        <v>16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>H18+H27+H42+H64+H78</f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72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 t="shared" si="20"/>
        <v>0</v>
      </c>
      <c r="AC97" s="67">
        <f>AC18+AC27+AC42+AC64</f>
        <v>0</v>
      </c>
      <c r="AD97" s="67">
        <f>AD18+AD27+AD42+AD64</f>
        <v>0</v>
      </c>
      <c r="AE97" s="67">
        <f>AE18+AE27+AE42+AE64</f>
        <v>0</v>
      </c>
      <c r="AF97" s="67"/>
      <c r="AG97" s="67">
        <f>SUM(D97:AE97)</f>
        <v>0</v>
      </c>
      <c r="AH97" s="71">
        <f>B97+C97-AG97</f>
        <v>16</v>
      </c>
    </row>
    <row r="98" spans="1:34" ht="15.75">
      <c r="A98" s="3" t="s">
        <v>1</v>
      </c>
      <c r="B98" s="22">
        <f aca="true" t="shared" si="21" ref="B98:AE98">B19+B28+B65+B35+B43+B56+B79</f>
        <v>5949.400000000001</v>
      </c>
      <c r="C98" s="22">
        <f t="shared" si="21"/>
        <v>3120.9999999999986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708.8</v>
      </c>
      <c r="H98" s="67">
        <f>H19+H28+H65+H35+H43+H56+H79</f>
        <v>214.1</v>
      </c>
      <c r="I98" s="67">
        <f t="shared" si="21"/>
        <v>98</v>
      </c>
      <c r="J98" s="67">
        <f t="shared" si="21"/>
        <v>840.2</v>
      </c>
      <c r="K98" s="67">
        <f t="shared" si="21"/>
        <v>523.2</v>
      </c>
      <c r="L98" s="67">
        <f t="shared" si="21"/>
        <v>41.599999999999994</v>
      </c>
      <c r="M98" s="67">
        <f t="shared" si="21"/>
        <v>314.6</v>
      </c>
      <c r="N98" s="72">
        <f t="shared" si="21"/>
        <v>100.4</v>
      </c>
      <c r="O98" s="67">
        <f t="shared" si="21"/>
        <v>466.3</v>
      </c>
      <c r="P98" s="67">
        <f t="shared" si="21"/>
        <v>450.7</v>
      </c>
      <c r="Q98" s="67">
        <f t="shared" si="21"/>
        <v>0.2</v>
      </c>
      <c r="R98" s="67">
        <f t="shared" si="21"/>
        <v>78.1</v>
      </c>
      <c r="S98" s="67">
        <f t="shared" si="21"/>
        <v>348.9</v>
      </c>
      <c r="T98" s="67">
        <f t="shared" si="21"/>
        <v>113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>
        <f t="shared" si="21"/>
        <v>0</v>
      </c>
      <c r="AF98" s="67"/>
      <c r="AG98" s="67">
        <f>SUM(D98:AE98)</f>
        <v>4298.099999999999</v>
      </c>
      <c r="AH98" s="71">
        <f>B98+C98-AG98</f>
        <v>4772.3</v>
      </c>
    </row>
    <row r="99" spans="1:34" ht="15.75">
      <c r="A99" s="3" t="s">
        <v>16</v>
      </c>
      <c r="B99" s="22">
        <f>B21+B30+B49+B37+B58+B13+B75+B67</f>
        <v>5668.800000000001</v>
      </c>
      <c r="C99" s="22">
        <f aca="true" t="shared" si="22" ref="C99:Y99">C21+C30+C49+C37+C58+C13+C75+C67</f>
        <v>3299.500000000001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235.8</v>
      </c>
      <c r="H99" s="67">
        <f>H21+H30+H49+H37+H58+H13+H75+H67</f>
        <v>1919</v>
      </c>
      <c r="I99" s="67">
        <f t="shared" si="22"/>
        <v>31.6</v>
      </c>
      <c r="J99" s="67">
        <f t="shared" si="22"/>
        <v>205.8</v>
      </c>
      <c r="K99" s="67">
        <f t="shared" si="22"/>
        <v>0</v>
      </c>
      <c r="L99" s="67">
        <f t="shared" si="22"/>
        <v>186</v>
      </c>
      <c r="M99" s="67">
        <f t="shared" si="22"/>
        <v>156.7</v>
      </c>
      <c r="N99" s="72">
        <f t="shared" si="22"/>
        <v>80.6</v>
      </c>
      <c r="O99" s="67">
        <f t="shared" si="22"/>
        <v>10</v>
      </c>
      <c r="P99" s="67">
        <f t="shared" si="22"/>
        <v>1790.4</v>
      </c>
      <c r="Q99" s="67">
        <f t="shared" si="22"/>
        <v>11.7</v>
      </c>
      <c r="R99" s="67">
        <f t="shared" si="22"/>
        <v>522.6</v>
      </c>
      <c r="S99" s="67">
        <f t="shared" si="22"/>
        <v>363.5</v>
      </c>
      <c r="T99" s="67">
        <f t="shared" si="22"/>
        <v>346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t="shared" si="22"/>
        <v>0</v>
      </c>
      <c r="Z99" s="67">
        <f aca="true" t="shared" si="23" ref="Z99:AE99">Z21+Z30+Z49+Z37+Z58+Z13+Z75</f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>
        <f t="shared" si="23"/>
        <v>0</v>
      </c>
      <c r="AF99" s="67"/>
      <c r="AG99" s="67">
        <f>SUM(D99:AE99)</f>
        <v>5859.7</v>
      </c>
      <c r="AH99" s="71">
        <f>B99+C99-AG99</f>
        <v>3108.600000000003</v>
      </c>
    </row>
    <row r="100" spans="1:34" ht="12.75">
      <c r="A100" s="1" t="s">
        <v>35</v>
      </c>
      <c r="B100" s="2">
        <f>B94-B95-B96-B97-B98-B99</f>
        <v>103355.79999999997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304.4</v>
      </c>
      <c r="O100" s="84">
        <f t="shared" si="24"/>
        <v>4215.6</v>
      </c>
      <c r="P100" s="84">
        <f t="shared" si="24"/>
        <v>5340.1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243.10000000000002</v>
      </c>
      <c r="T100" s="84">
        <f t="shared" si="24"/>
        <v>12011.2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81699.20000000001</v>
      </c>
      <c r="AH100" s="84">
        <f>AH94-AH95-AH96-AH97-AH98-AH99</f>
        <v>58005.554829999994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6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2019-05-17T08:54:00Z</cp:lastPrinted>
  <dcterms:created xsi:type="dcterms:W3CDTF">2002-11-05T08:53:00Z</dcterms:created>
  <dcterms:modified xsi:type="dcterms:W3CDTF">2019-05-23T11:21:43Z</dcterms:modified>
  <cp:category/>
  <cp:version/>
  <cp:contentType/>
  <cp:contentStatus/>
</cp:coreProperties>
</file>